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activeTab="3"/>
  </bookViews>
  <sheets>
    <sheet name="Лист1" sheetId="1" r:id="rId1"/>
    <sheet name="Лист2" sheetId="2" r:id="rId2"/>
    <sheet name="2012 полн" sheetId="3" r:id="rId3"/>
    <sheet name="2012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<sst xmlns="http://schemas.openxmlformats.org/spreadsheetml/2006/main" count="349" uniqueCount="130">
  <si>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</si>
  <si>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</si>
  <si>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</si>
  <si>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</si>
  <si>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</si>
  <si>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</si>
  <si>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</si>
  <si>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</si>
  <si>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</si>
  <si>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</si>
  <si>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</si>
  <si>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</si>
  <si>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</si>
  <si>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</si>
  <si>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</si>
  <si>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</si>
  <si>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</si>
  <si>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</si>
  <si>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</si>
  <si>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</si>
  <si>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</si>
  <si>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</si>
  <si>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</si>
  <si>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</si>
  <si>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</si>
  <si>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</si>
  <si>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</si>
  <si>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</si>
  <si>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</si>
  <si>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</si>
  <si>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</si>
  <si>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</si>
  <si>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</si>
  <si>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</si>
  <si>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</si>
  <si>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</si>
  <si>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</si>
  <si>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</si>
  <si>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</si>
  <si>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</si>
  <si>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</si>
  <si>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</si>
  <si>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</si>
  <si>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</si>
  <si>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</si>
  <si>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</si>
  <si>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</si>
  <si>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</si>
  <si>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</si>
  <si>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</si>
  <si>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</si>
  <si>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</si>
  <si>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</si>
  <si>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</si>
  <si>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</si>
  <si>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</si>
  <si>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</si>
  <si>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</si>
  <si>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</si>
  <si>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</si>
  <si>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</si>
  <si>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</si>
  <si>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</si>
  <si>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</si>
  <si>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</si>
  <si>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</si>
  <si>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</si>
  <si>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</si>
  <si>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</si>
  <si>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</si>
  <si>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</si>
  <si>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</si>
  <si>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</si>
  <si>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</si>
  <si>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</si>
  <si>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</si>
  <si>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Лицевой счет по адресу г. Таштагол, ул. Ленина, д. 48</t>
  </si>
  <si>
    <t>Выписка по лицевому счету по адресу г. Таштагол, ул. Ленина, д. 48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</si>
  <si>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</si>
  <si>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</si>
  <si>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</si>
  <si>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</si>
  <si>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</si>
  <si>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</si>
  <si>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</si>
  <si>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</si>
  <si>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</si>
  <si>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</si>
  <si>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</si>
  <si>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</si>
  <si>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</si>
  <si>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</si>
  <si>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на 01.01.2011 г.</t>
  </si>
  <si>
    <t>*по состоянию на 01.01.2011 г.</t>
  </si>
  <si>
    <t>на начало отчетного периода</t>
  </si>
  <si>
    <t>Исп. Ю.С. Дмитриева</t>
  </si>
  <si>
    <t>Лицевой счет по адресу г. Таштагол, ул. 18 партсъезд, д.19</t>
  </si>
  <si>
    <t>№ п/п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</si>
  <si>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</si>
  <si>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</si>
  <si>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</si>
  <si>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</si>
  <si>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</si>
  <si>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</si>
  <si>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</si>
  <si>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</si>
  <si>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</si>
  <si>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</si>
  <si>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</si>
  <si>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</si>
  <si>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</si>
  <si>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</si>
  <si>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</si>
  <si>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</si>
  <si>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</si>
  <si>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</si>
  <si>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</si>
  <si>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Электроэнергия</t>
  </si>
  <si>
    <t>Собрано квартплаты от населения</t>
  </si>
  <si>
    <t>Услуга начисления</t>
  </si>
  <si>
    <t>Собрано по содержанию и тек.рем.</t>
  </si>
  <si>
    <t>2011 год</t>
  </si>
  <si>
    <t>Выписка по лицевому счету по адресу г. Таштагол ул. Ленина, д.48</t>
  </si>
  <si>
    <t>Доходы от нежилых помещений</t>
  </si>
  <si>
    <t>Расходы по нежилым помещениям</t>
  </si>
  <si>
    <t>Исп. В.В. Колмогорова</t>
  </si>
  <si>
    <t>2012 год</t>
  </si>
  <si>
    <t>Тариф по содержанию и тек.ремонту 100 % (9,61 руб.*площадь)</t>
  </si>
  <si>
    <t>на 01.01.2013 г.</t>
  </si>
  <si>
    <t>*по состоянию на 01.04.2013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</si>
</sst>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textRotation="90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4" fontId="2" fillId="0" borderId="32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0" fontId="1" fillId="0" borderId="24" xfId="0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35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>
      <alignment horizontal="right" wrapText="1"/>
    </xf>
    <xf numFmtId="4" fontId="1" fillId="0" borderId="36" xfId="0" applyNumberFormat="1" applyFont="1" applyFill="1" applyBorder="1" applyAlignment="1">
      <alignment horizontal="right" wrapText="1"/>
    </xf>
    <xf numFmtId="4" fontId="1" fillId="0" borderId="29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4" fontId="1" fillId="0" borderId="25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31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wrapText="1"/>
    </xf>
    <xf numFmtId="4" fontId="0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20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right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4" fontId="1" fillId="33" borderId="26" xfId="0" applyNumberFormat="1" applyFont="1" applyFill="1" applyBorder="1" applyAlignment="1">
      <alignment horizontal="right" wrapText="1"/>
    </xf>
    <xf numFmtId="4" fontId="1" fillId="33" borderId="27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4" fontId="1" fillId="33" borderId="20" xfId="0" applyNumberFormat="1" applyFont="1" applyFill="1" applyBorder="1" applyAlignment="1">
      <alignment horizontal="right"/>
    </xf>
    <xf numFmtId="4" fontId="1" fillId="33" borderId="30" xfId="0" applyNumberFormat="1" applyFont="1" applyFill="1" applyBorder="1" applyAlignment="1">
      <alignment horizontal="right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" fillId="33" borderId="27" xfId="0" applyNumberFormat="1" applyFont="1" applyFill="1" applyBorder="1" applyAlignment="1">
      <alignment horizontal="right" wrapText="1"/>
    </xf>
    <xf numFmtId="4" fontId="1" fillId="33" borderId="26" xfId="0" applyNumberFormat="1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0" fillId="33" borderId="1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2" fillId="0" borderId="30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6" borderId="15" xfId="0" applyNumberFormat="1" applyFont="1" applyFill="1" applyBorder="1" applyAlignment="1">
      <alignment horizontal="center"/>
    </xf>
    <xf numFmtId="4" fontId="0" fillId="34" borderId="33" xfId="0" applyNumberFormat="1" applyFont="1" applyFill="1" applyBorder="1" applyAlignment="1">
      <alignment/>
    </xf>
    <xf numFmtId="4" fontId="0" fillId="34" borderId="2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37" borderId="32" xfId="0" applyNumberFormat="1" applyFont="1" applyFill="1" applyBorder="1" applyAlignment="1">
      <alignment/>
    </xf>
    <xf numFmtId="4" fontId="0" fillId="38" borderId="32" xfId="0" applyNumberFormat="1" applyFont="1" applyFill="1" applyBorder="1" applyAlignment="1">
      <alignment horizontal="right"/>
    </xf>
    <xf numFmtId="4" fontId="0" fillId="38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0" fillId="34" borderId="32" xfId="0" applyNumberFormat="1" applyFont="1" applyFill="1" applyBorder="1" applyAlignment="1">
      <alignment/>
    </xf>
    <xf numFmtId="4" fontId="1" fillId="35" borderId="25" xfId="0" applyNumberFormat="1" applyFont="1" applyFill="1" applyBorder="1" applyAlignment="1">
      <alignment wrapText="1"/>
    </xf>
    <xf numFmtId="4" fontId="1" fillId="33" borderId="25" xfId="0" applyNumberFormat="1" applyFont="1" applyFill="1" applyBorder="1" applyAlignment="1">
      <alignment wrapText="1"/>
    </xf>
    <xf numFmtId="4" fontId="1" fillId="0" borderId="27" xfId="0" applyNumberFormat="1" applyFont="1" applyFill="1" applyBorder="1" applyAlignment="1">
      <alignment wrapText="1"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30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37" borderId="11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38" borderId="4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0" fillId="0" borderId="42" xfId="0" applyNumberFormat="1" applyFont="1" applyFill="1" applyBorder="1" applyAlignment="1">
      <alignment horizontal="right"/>
    </xf>
    <xf numFmtId="4" fontId="0" fillId="38" borderId="17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4" fontId="2" fillId="0" borderId="20" xfId="34" applyNumberFormat="1" applyFont="1" applyFill="1" applyBorder="1" applyAlignment="1">
      <alignment horizontal="center" vertical="center" wrapText="1"/>
      <protection/>
    </xf>
    <xf numFmtId="4" fontId="10" fillId="0" borderId="32" xfId="0" applyNumberFormat="1" applyFont="1" applyFill="1" applyBorder="1" applyAlignment="1">
      <alignment/>
    </xf>
    <xf numFmtId="4" fontId="0" fillId="0" borderId="44" xfId="0" applyNumberFormat="1" applyFont="1" applyFill="1" applyBorder="1" applyAlignment="1">
      <alignment horizontal="right"/>
    </xf>
    <xf numFmtId="4" fontId="1" fillId="35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5" borderId="11" xfId="0" applyNumberFormat="1" applyFont="1" applyFill="1" applyBorder="1" applyAlignment="1">
      <alignment horizontal="right" wrapText="1"/>
    </xf>
    <xf numFmtId="0" fontId="1" fillId="0" borderId="40" xfId="0" applyFont="1" applyFill="1" applyBorder="1" applyAlignment="1">
      <alignment/>
    </xf>
    <xf numFmtId="4" fontId="1" fillId="35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" fontId="0" fillId="33" borderId="21" xfId="0" applyNumberFormat="1" applyFont="1" applyFill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4" fontId="0" fillId="0" borderId="45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4" fontId="10" fillId="37" borderId="32" xfId="0" applyNumberFormat="1" applyFont="1" applyFill="1" applyBorder="1" applyAlignment="1">
      <alignment/>
    </xf>
    <xf numFmtId="4" fontId="2" fillId="0" borderId="11" xfId="54" applyNumberFormat="1" applyFont="1" applyFill="1" applyBorder="1" applyAlignment="1">
      <alignment horizontal="right"/>
      <protection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1" fillId="33" borderId="46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47" xfId="0" applyNumberFormat="1" applyFont="1" applyFill="1" applyBorder="1" applyAlignment="1">
      <alignment horizontal="right"/>
    </xf>
    <xf numFmtId="4" fontId="1" fillId="0" borderId="48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1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3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36" borderId="1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2" fillId="34" borderId="32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37" borderId="32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/>
    </xf>
    <xf numFmtId="4" fontId="0" fillId="0" borderId="5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36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51" xfId="0" applyNumberFormat="1" applyFont="1" applyFill="1" applyBorder="1" applyAlignment="1">
      <alignment horizontal="center"/>
    </xf>
    <xf numFmtId="4" fontId="0" fillId="36" borderId="33" xfId="0" applyNumberFormat="1" applyFont="1" applyFill="1" applyBorder="1" applyAlignment="1">
      <alignment horizontal="center"/>
    </xf>
    <xf numFmtId="4" fontId="0" fillId="0" borderId="5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36" borderId="33" xfId="0" applyFont="1" applyFill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11" fillId="0" borderId="32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4" fontId="0" fillId="34" borderId="52" xfId="0" applyNumberFormat="1" applyFill="1" applyBorder="1" applyAlignment="1">
      <alignment horizontal="right" wrapText="1"/>
    </xf>
    <xf numFmtId="0" fontId="2" fillId="0" borderId="3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6" borderId="15" xfId="0" applyFont="1" applyFill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32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53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/>
    </xf>
    <xf numFmtId="4" fontId="1" fillId="0" borderId="29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right"/>
    </xf>
    <xf numFmtId="0" fontId="1" fillId="0" borderId="54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4" fontId="1" fillId="0" borderId="54" xfId="0" applyNumberFormat="1" applyFont="1" applyFill="1" applyBorder="1" applyAlignment="1">
      <alignment/>
    </xf>
    <xf numFmtId="4" fontId="1" fillId="0" borderId="55" xfId="0" applyNumberFormat="1" applyFont="1" applyFill="1" applyBorder="1" applyAlignment="1">
      <alignment/>
    </xf>
    <xf numFmtId="4" fontId="1" fillId="0" borderId="56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4" fontId="2" fillId="0" borderId="57" xfId="34" applyNumberFormat="1" applyFont="1" applyFill="1" applyBorder="1" applyAlignment="1">
      <alignment horizontal="right" vertical="center" wrapText="1"/>
      <protection/>
    </xf>
    <xf numFmtId="4" fontId="0" fillId="0" borderId="3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3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2" fontId="12" fillId="0" borderId="45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43" xfId="0" applyNumberFormat="1" applyFont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43" fontId="0" fillId="37" borderId="11" xfId="0" applyNumberFormat="1" applyFont="1" applyFill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0" fontId="2" fillId="36" borderId="33" xfId="0" applyFont="1" applyFill="1" applyBorder="1" applyAlignment="1">
      <alignment/>
    </xf>
    <xf numFmtId="0" fontId="2" fillId="0" borderId="43" xfId="0" applyFont="1" applyBorder="1" applyAlignment="1">
      <alignment wrapText="1"/>
    </xf>
    <xf numFmtId="0" fontId="2" fillId="36" borderId="15" xfId="0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4" fontId="0" fillId="0" borderId="50" xfId="0" applyNumberFormat="1" applyFont="1" applyFill="1" applyBorder="1" applyAlignment="1">
      <alignment horizontal="right"/>
    </xf>
    <xf numFmtId="4" fontId="0" fillId="0" borderId="51" xfId="0" applyNumberFormat="1" applyFont="1" applyFill="1" applyBorder="1" applyAlignment="1">
      <alignment horizontal="right"/>
    </xf>
    <xf numFmtId="4" fontId="0" fillId="0" borderId="52" xfId="0" applyNumberFormat="1" applyFont="1" applyFill="1" applyBorder="1" applyAlignment="1">
      <alignment horizontal="right"/>
    </xf>
    <xf numFmtId="4" fontId="1" fillId="0" borderId="58" xfId="0" applyNumberFormat="1" applyFont="1" applyFill="1" applyBorder="1" applyAlignment="1">
      <alignment horizontal="right" wrapText="1"/>
    </xf>
    <xf numFmtId="0" fontId="48" fillId="33" borderId="11" xfId="0" applyFont="1" applyFill="1" applyBorder="1" applyAlignment="1">
      <alignment horizontal="center"/>
    </xf>
    <xf numFmtId="2" fontId="1" fillId="33" borderId="44" xfId="0" applyNumberFormat="1" applyFont="1" applyFill="1" applyBorder="1" applyAlignment="1">
      <alignment horizontal="center" vertical="center" wrapText="1"/>
    </xf>
    <xf numFmtId="2" fontId="1" fillId="33" borderId="59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0" fontId="1" fillId="38" borderId="46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35" borderId="21" xfId="0" applyNumberFormat="1" applyFont="1" applyFill="1" applyBorder="1" applyAlignment="1">
      <alignment horizontal="center" vertical="center" wrapText="1"/>
    </xf>
    <xf numFmtId="2" fontId="1" fillId="35" borderId="54" xfId="0" applyNumberFormat="1" applyFont="1" applyFill="1" applyBorder="1" applyAlignment="1">
      <alignment horizontal="center" vertical="center" wrapText="1"/>
    </xf>
    <xf numFmtId="2" fontId="1" fillId="35" borderId="46" xfId="0" applyNumberFormat="1" applyFont="1" applyFill="1" applyBorder="1" applyAlignment="1">
      <alignment horizontal="center" vertical="center" wrapText="1"/>
    </xf>
    <xf numFmtId="2" fontId="1" fillId="35" borderId="39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37" borderId="46" xfId="0" applyNumberFormat="1" applyFont="1" applyFill="1" applyBorder="1" applyAlignment="1">
      <alignment horizontal="center" vertical="center" wrapText="1"/>
    </xf>
    <xf numFmtId="2" fontId="1" fillId="37" borderId="38" xfId="0" applyNumberFormat="1" applyFont="1" applyFill="1" applyBorder="1" applyAlignment="1">
      <alignment horizontal="center" vertical="center" wrapText="1"/>
    </xf>
    <xf numFmtId="2" fontId="1" fillId="37" borderId="39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8" fillId="0" borderId="46" xfId="0" applyNumberFormat="1" applyFont="1" applyFill="1" applyBorder="1" applyAlignment="1">
      <alignment horizontal="center" vertical="center" wrapText="1"/>
    </xf>
    <xf numFmtId="2" fontId="8" fillId="0" borderId="39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textRotation="90"/>
    </xf>
    <xf numFmtId="0" fontId="1" fillId="0" borderId="38" xfId="0" applyFont="1" applyFill="1" applyBorder="1" applyAlignment="1">
      <alignment horizontal="center" textRotation="90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4" borderId="64" xfId="0" applyNumberFormat="1" applyFont="1" applyFill="1" applyBorder="1" applyAlignment="1">
      <alignment horizontal="center" vertical="center" wrapText="1"/>
    </xf>
    <xf numFmtId="2" fontId="7" fillId="34" borderId="46" xfId="0" applyNumberFormat="1" applyFont="1" applyFill="1" applyBorder="1" applyAlignment="1">
      <alignment horizontal="center" vertical="center" wrapText="1"/>
    </xf>
    <xf numFmtId="2" fontId="7" fillId="34" borderId="38" xfId="0" applyNumberFormat="1" applyFont="1" applyFill="1" applyBorder="1" applyAlignment="1">
      <alignment horizontal="center" vertical="center" wrapText="1"/>
    </xf>
    <xf numFmtId="2" fontId="7" fillId="34" borderId="39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39" xfId="0" applyNumberFormat="1" applyFont="1" applyFill="1" applyBorder="1" applyAlignment="1">
      <alignment horizontal="center" vertical="center" wrapText="1"/>
    </xf>
    <xf numFmtId="0" fontId="1" fillId="36" borderId="46" xfId="0" applyFont="1" applyFill="1" applyBorder="1" applyAlignment="1">
      <alignment horizontal="center" textRotation="90"/>
    </xf>
    <xf numFmtId="0" fontId="1" fillId="36" borderId="38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62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34" borderId="46" xfId="0" applyNumberFormat="1" applyFont="1" applyFill="1" applyBorder="1" applyAlignment="1">
      <alignment horizontal="center" vertical="center" wrapText="1"/>
    </xf>
    <xf numFmtId="4" fontId="1" fillId="34" borderId="38" xfId="0" applyNumberFormat="1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textRotation="90"/>
    </xf>
    <xf numFmtId="0" fontId="1" fillId="0" borderId="40" xfId="0" applyFont="1" applyFill="1" applyBorder="1" applyAlignment="1">
      <alignment horizontal="center" textRotation="90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22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43" fontId="0" fillId="0" borderId="32" xfId="61" applyFont="1" applyFill="1" applyBorder="1" applyAlignment="1">
      <alignment horizontal="center"/>
    </xf>
    <xf numFmtId="43" fontId="0" fillId="0" borderId="20" xfId="61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2" fontId="1" fillId="33" borderId="32" xfId="0" applyNumberFormat="1" applyFont="1" applyFill="1" applyBorder="1" applyAlignment="1">
      <alignment horizontal="center" vertical="center" textRotation="90" wrapText="1"/>
    </xf>
    <xf numFmtId="2" fontId="1" fillId="33" borderId="57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0" fontId="1" fillId="33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" fontId="1" fillId="0" borderId="70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71" xfId="0" applyNumberFormat="1" applyFont="1" applyFill="1" applyBorder="1" applyAlignment="1">
      <alignment horizontal="center" vertical="center" textRotation="90" wrapText="1"/>
    </xf>
    <xf numFmtId="4" fontId="1" fillId="0" borderId="32" xfId="0" applyNumberFormat="1" applyFont="1" applyFill="1" applyBorder="1" applyAlignment="1">
      <alignment horizontal="center" vertical="center" textRotation="90" wrapText="1"/>
    </xf>
    <xf numFmtId="4" fontId="1" fillId="0" borderId="57" xfId="0" applyNumberFormat="1" applyFont="1" applyFill="1" applyBorder="1" applyAlignment="1">
      <alignment horizontal="center" vertical="center" textRotation="90" wrapText="1"/>
    </xf>
    <xf numFmtId="4" fontId="1" fillId="0" borderId="53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2" fontId="7" fillId="0" borderId="46" xfId="0" applyNumberFormat="1" applyFont="1" applyFill="1" applyBorder="1" applyAlignment="1">
      <alignment horizontal="center" vertical="center" wrapText="1"/>
    </xf>
    <xf numFmtId="2" fontId="7" fillId="0" borderId="38" xfId="0" applyNumberFormat="1" applyFont="1" applyFill="1" applyBorder="1" applyAlignment="1">
      <alignment horizontal="center" vertical="center" wrapText="1"/>
    </xf>
    <xf numFmtId="2" fontId="7" fillId="0" borderId="39" xfId="0" applyNumberFormat="1" applyFont="1" applyFill="1" applyBorder="1" applyAlignment="1">
      <alignment horizontal="center" vertical="center" wrapText="1"/>
    </xf>
    <xf numFmtId="0" fontId="1" fillId="36" borderId="39" xfId="0" applyFont="1" applyFill="1" applyBorder="1" applyAlignment="1">
      <alignment horizontal="center" textRotation="90"/>
    </xf>
    <xf numFmtId="2" fontId="1" fillId="0" borderId="76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0" fontId="1" fillId="38" borderId="60" xfId="0" applyFont="1" applyFill="1" applyBorder="1" applyAlignment="1">
      <alignment horizontal="center" vertical="center" wrapText="1"/>
    </xf>
    <xf numFmtId="0" fontId="1" fillId="38" borderId="68" xfId="0" applyFont="1" applyFill="1" applyBorder="1" applyAlignment="1">
      <alignment horizontal="center" vertical="center" wrapText="1"/>
    </xf>
    <xf numFmtId="0" fontId="1" fillId="38" borderId="63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textRotation="90"/>
    </xf>
    <xf numFmtId="2" fontId="1" fillId="0" borderId="72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1" fillId="34" borderId="69" xfId="0" applyNumberFormat="1" applyFont="1" applyFill="1" applyBorder="1" applyAlignment="1">
      <alignment horizontal="center" vertical="center" wrapText="1"/>
    </xf>
    <xf numFmtId="2" fontId="1" fillId="34" borderId="67" xfId="0" applyNumberFormat="1" applyFont="1" applyFill="1" applyBorder="1" applyAlignment="1">
      <alignment horizontal="center" vertical="center" wrapText="1"/>
    </xf>
    <xf numFmtId="2" fontId="1" fillId="34" borderId="77" xfId="0" applyNumberFormat="1" applyFont="1" applyFill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77" xfId="0" applyNumberFormat="1" applyFont="1" applyFill="1" applyBorder="1" applyAlignment="1">
      <alignment horizontal="center" vertical="center" wrapText="1"/>
    </xf>
    <xf numFmtId="2" fontId="1" fillId="33" borderId="77" xfId="0" applyNumberFormat="1" applyFont="1" applyFill="1" applyBorder="1" applyAlignment="1">
      <alignment horizontal="center" vertical="center" wrapText="1"/>
    </xf>
    <xf numFmtId="2" fontId="1" fillId="33" borderId="46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0" borderId="7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left"/>
    </xf>
    <xf numFmtId="0" fontId="1" fillId="0" borderId="61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4" fontId="2" fillId="34" borderId="52" xfId="0" applyNumberFormat="1" applyFont="1" applyFill="1" applyBorder="1" applyAlignment="1">
      <alignment horizontal="right" wrapText="1"/>
    </xf>
    <xf numFmtId="164" fontId="2" fillId="33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0" fontId="30" fillId="0" borderId="11" xfId="0" applyFont="1" applyBorder="1" applyAlignment="1">
      <alignment wrapText="1"/>
    </xf>
    <xf numFmtId="0" fontId="30" fillId="0" borderId="32" xfId="0" applyFont="1" applyBorder="1" applyAlignment="1">
      <alignment wrapText="1"/>
    </xf>
    <xf numFmtId="4" fontId="2" fillId="36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right"/>
    </xf>
    <xf numFmtId="4" fontId="0" fillId="39" borderId="15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876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0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9;&#1074;&#1072;&#1083;&#1100;&#1085;&#1072;&#1103;,%208%20&#1089;%202011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6">
          <cell r="Z46">
            <v>0</v>
          </cell>
          <cell r="AA46">
            <v>0</v>
          </cell>
          <cell r="AD46">
            <v>0</v>
          </cell>
          <cell r="AE46">
            <v>0</v>
          </cell>
          <cell r="AF46">
            <v>0</v>
          </cell>
          <cell r="AY46">
            <v>0</v>
          </cell>
        </row>
      </sheetData>
      <sheetData sheetId="2">
        <row r="10">
          <cell r="V10">
            <v>0</v>
          </cell>
        </row>
        <row r="11">
          <cell r="V11">
            <v>0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0</v>
          </cell>
        </row>
        <row r="21">
          <cell r="V2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2011 полн."/>
      <sheetName val="2011 печать"/>
    </sheetNames>
    <sheetDataSet>
      <sheetData sheetId="0">
        <row r="9">
          <cell r="B9">
            <v>347</v>
          </cell>
          <cell r="D9">
            <v>375.19375</v>
          </cell>
          <cell r="S9">
            <v>1402.63</v>
          </cell>
          <cell r="T9">
            <v>770.85</v>
          </cell>
          <cell r="AB9">
            <v>1205.52</v>
          </cell>
          <cell r="AC9">
            <v>2351.5637500000003</v>
          </cell>
          <cell r="AG9">
            <v>187.38</v>
          </cell>
          <cell r="AH9">
            <v>61.83540000000001</v>
          </cell>
          <cell r="AI9">
            <v>255.70164999999997</v>
          </cell>
          <cell r="AJ9">
            <v>46.02629699999999</v>
          </cell>
          <cell r="AK9">
            <v>250.16548600000002</v>
          </cell>
          <cell r="AL9">
            <v>45.02978748</v>
          </cell>
          <cell r="AM9">
            <v>575.682022</v>
          </cell>
          <cell r="AN9">
            <v>103.62276395999999</v>
          </cell>
          <cell r="AP9">
            <v>0</v>
          </cell>
          <cell r="AR9">
            <v>0</v>
          </cell>
          <cell r="AU9">
            <v>0</v>
          </cell>
          <cell r="BA9">
            <v>0</v>
          </cell>
          <cell r="BB9">
            <v>1525.4434064399998</v>
          </cell>
          <cell r="BD9">
            <v>826.1203435600005</v>
          </cell>
          <cell r="BE9">
            <v>-197.11000000000013</v>
          </cell>
        </row>
        <row r="10">
          <cell r="B10">
            <v>347</v>
          </cell>
          <cell r="D10">
            <v>375.19375</v>
          </cell>
          <cell r="S10">
            <v>1402.63</v>
          </cell>
          <cell r="T10">
            <v>770.85</v>
          </cell>
          <cell r="AB10">
            <v>1141.3000000000002</v>
          </cell>
          <cell r="AC10">
            <v>2287.34375</v>
          </cell>
          <cell r="AG10">
            <v>187.38</v>
          </cell>
          <cell r="AH10">
            <v>63.521820000000005</v>
          </cell>
          <cell r="AI10">
            <v>255.42669999999998</v>
          </cell>
          <cell r="AJ10">
            <v>45.976805999999996</v>
          </cell>
          <cell r="AK10">
            <v>250.136685</v>
          </cell>
          <cell r="AL10">
            <v>45.024603299999995</v>
          </cell>
          <cell r="AM10">
            <v>575.5494679999999</v>
          </cell>
          <cell r="AN10">
            <v>103.59890423999998</v>
          </cell>
          <cell r="AP10">
            <v>0</v>
          </cell>
          <cell r="AR10">
            <v>0</v>
          </cell>
          <cell r="AS10">
            <v>1330</v>
          </cell>
          <cell r="AU10">
            <v>239.39999999999998</v>
          </cell>
          <cell r="BA10">
            <v>0</v>
          </cell>
          <cell r="BB10">
            <v>3096.0149865399994</v>
          </cell>
          <cell r="BD10">
            <v>-808.6712365399994</v>
          </cell>
          <cell r="BE10">
            <v>-261.3299999999999</v>
          </cell>
        </row>
        <row r="11">
          <cell r="B11">
            <v>347</v>
          </cell>
          <cell r="D11">
            <v>375.19375</v>
          </cell>
          <cell r="S11">
            <v>1402.63</v>
          </cell>
          <cell r="T11">
            <v>770.85</v>
          </cell>
          <cell r="AB11">
            <v>1864.7600000000002</v>
          </cell>
          <cell r="AC11">
            <v>3010.80375</v>
          </cell>
          <cell r="AG11">
            <v>187.38</v>
          </cell>
          <cell r="AH11">
            <v>63.01908000000001</v>
          </cell>
          <cell r="AI11">
            <v>255.879125</v>
          </cell>
          <cell r="AJ11">
            <v>46.0582425</v>
          </cell>
          <cell r="AK11">
            <v>241.35237999999998</v>
          </cell>
          <cell r="AL11">
            <v>43.443428399999995</v>
          </cell>
          <cell r="AM11">
            <v>555.40126</v>
          </cell>
          <cell r="AN11">
            <v>99.97222679999999</v>
          </cell>
          <cell r="AP11">
            <v>0</v>
          </cell>
          <cell r="AR11">
            <v>0</v>
          </cell>
          <cell r="AU11">
            <v>0</v>
          </cell>
          <cell r="BB11">
            <v>1492.5057427</v>
          </cell>
          <cell r="BD11">
            <v>1518.2980073</v>
          </cell>
          <cell r="BE11">
            <v>462.1300000000001</v>
          </cell>
        </row>
        <row r="12">
          <cell r="B12">
            <v>347</v>
          </cell>
          <cell r="D12">
            <v>375.19375</v>
          </cell>
          <cell r="S12">
            <v>1401.9099999999999</v>
          </cell>
          <cell r="T12">
            <v>770.85</v>
          </cell>
          <cell r="AB12">
            <v>1402.6</v>
          </cell>
          <cell r="AC12">
            <v>2548.64375</v>
          </cell>
          <cell r="AG12">
            <v>187.38</v>
          </cell>
          <cell r="AH12">
            <v>64.08396</v>
          </cell>
          <cell r="AI12">
            <v>263.39035</v>
          </cell>
          <cell r="AJ12">
            <v>47.410263</v>
          </cell>
          <cell r="AK12">
            <v>244.75089799999998</v>
          </cell>
          <cell r="AL12">
            <v>44.055161639999994</v>
          </cell>
          <cell r="AM12">
            <v>563.221946</v>
          </cell>
          <cell r="AN12">
            <v>101.37995028</v>
          </cell>
          <cell r="AP12">
            <v>0</v>
          </cell>
          <cell r="AR12">
            <v>0</v>
          </cell>
          <cell r="AS12">
            <v>0</v>
          </cell>
          <cell r="AU12">
            <v>0</v>
          </cell>
          <cell r="BA12">
            <v>0</v>
          </cell>
          <cell r="BB12">
            <v>1833.8477289200002</v>
          </cell>
          <cell r="BD12">
            <v>714.79602108</v>
          </cell>
          <cell r="BE12">
            <v>0.6900000000000546</v>
          </cell>
        </row>
        <row r="13">
          <cell r="B13">
            <v>347</v>
          </cell>
          <cell r="D13">
            <v>577.8599999999997</v>
          </cell>
          <cell r="S13">
            <v>1563.57</v>
          </cell>
          <cell r="T13">
            <v>860.12</v>
          </cell>
          <cell r="AB13">
            <v>1101.03</v>
          </cell>
          <cell r="AC13">
            <v>2539.0099999999993</v>
          </cell>
          <cell r="AG13">
            <v>208.2</v>
          </cell>
          <cell r="AH13">
            <v>70.09400000000001</v>
          </cell>
          <cell r="AI13">
            <v>294.95</v>
          </cell>
          <cell r="AJ13">
            <v>53.090999999999994</v>
          </cell>
          <cell r="AK13">
            <v>288.01</v>
          </cell>
          <cell r="AL13">
            <v>51.8418</v>
          </cell>
          <cell r="AM13">
            <v>662.77</v>
          </cell>
          <cell r="AN13">
            <v>119.2986</v>
          </cell>
          <cell r="AP13">
            <v>0</v>
          </cell>
          <cell r="AR13">
            <v>0</v>
          </cell>
          <cell r="AU13">
            <v>0</v>
          </cell>
          <cell r="BA13">
            <v>0</v>
          </cell>
          <cell r="BB13">
            <v>1800.3925199999999</v>
          </cell>
          <cell r="BD13">
            <v>738.6174799999994</v>
          </cell>
          <cell r="BE13">
            <v>-462.53999999999996</v>
          </cell>
        </row>
        <row r="14">
          <cell r="B14">
            <v>347</v>
          </cell>
          <cell r="D14">
            <v>577.73</v>
          </cell>
          <cell r="S14">
            <v>1563.7</v>
          </cell>
          <cell r="T14">
            <v>860.12</v>
          </cell>
          <cell r="AB14">
            <v>1864.8400000000001</v>
          </cell>
          <cell r="AC14">
            <v>3302.69</v>
          </cell>
          <cell r="AG14">
            <v>208.2</v>
          </cell>
          <cell r="AH14">
            <v>70.12523000000002</v>
          </cell>
          <cell r="AI14">
            <v>294.95</v>
          </cell>
          <cell r="AJ14">
            <v>53.090999999999994</v>
          </cell>
          <cell r="AK14">
            <v>288.01</v>
          </cell>
          <cell r="AL14">
            <v>51.8418</v>
          </cell>
          <cell r="AM14">
            <v>662.77</v>
          </cell>
          <cell r="AN14">
            <v>119.2986</v>
          </cell>
          <cell r="AP14">
            <v>0</v>
          </cell>
          <cell r="AR14">
            <v>0</v>
          </cell>
          <cell r="AU14">
            <v>0</v>
          </cell>
          <cell r="BA14">
            <v>0</v>
          </cell>
          <cell r="BB14">
            <v>1794.47655</v>
          </cell>
          <cell r="BD14">
            <v>1508.21345</v>
          </cell>
          <cell r="BE14">
            <v>301.1400000000001</v>
          </cell>
        </row>
        <row r="15">
          <cell r="B15">
            <v>347</v>
          </cell>
          <cell r="D15">
            <v>595.9700000000003</v>
          </cell>
          <cell r="S15">
            <v>1553.6399999999999</v>
          </cell>
          <cell r="T15">
            <v>851.9399999999999</v>
          </cell>
          <cell r="AB15">
            <v>1230.87</v>
          </cell>
          <cell r="AC15">
            <v>2678.78</v>
          </cell>
          <cell r="AG15">
            <v>208.2</v>
          </cell>
          <cell r="AH15">
            <v>69.00095</v>
          </cell>
          <cell r="AI15">
            <v>290.76171</v>
          </cell>
          <cell r="AJ15">
            <v>52.3371078</v>
          </cell>
          <cell r="AK15">
            <v>285.273905</v>
          </cell>
          <cell r="AL15">
            <v>51.3493029</v>
          </cell>
          <cell r="AM15">
            <v>656.4074079999999</v>
          </cell>
          <cell r="AN15">
            <v>118.15333343999998</v>
          </cell>
          <cell r="AP15">
            <v>0</v>
          </cell>
          <cell r="AR15">
            <v>0</v>
          </cell>
          <cell r="AU15">
            <v>0</v>
          </cell>
          <cell r="BA15">
            <v>0</v>
          </cell>
          <cell r="BB15">
            <v>1780.64723714</v>
          </cell>
          <cell r="BD15">
            <v>898.1327628600002</v>
          </cell>
          <cell r="BE15">
            <v>-322.77</v>
          </cell>
        </row>
        <row r="16">
          <cell r="B16">
            <v>347</v>
          </cell>
          <cell r="D16">
            <v>577.73</v>
          </cell>
          <cell r="S16">
            <v>1563.7</v>
          </cell>
          <cell r="T16">
            <v>860.12</v>
          </cell>
          <cell r="AB16">
            <v>1843.1499999999999</v>
          </cell>
          <cell r="AC16">
            <v>3281</v>
          </cell>
          <cell r="AG16">
            <v>208.2</v>
          </cell>
          <cell r="AH16">
            <v>69.313944</v>
          </cell>
          <cell r="AI16">
            <v>290.59948749999995</v>
          </cell>
          <cell r="AJ16">
            <v>52.30790774999999</v>
          </cell>
          <cell r="AK16">
            <v>285.12989999999996</v>
          </cell>
          <cell r="AL16">
            <v>51.32338199999999</v>
          </cell>
          <cell r="AM16">
            <v>656.076023</v>
          </cell>
          <cell r="AN16">
            <v>118.09368414</v>
          </cell>
          <cell r="AP16">
            <v>0</v>
          </cell>
          <cell r="AR16">
            <v>0</v>
          </cell>
          <cell r="AU16">
            <v>0</v>
          </cell>
          <cell r="BA16">
            <v>0</v>
          </cell>
          <cell r="BB16">
            <v>1789.1286483900003</v>
          </cell>
          <cell r="BD16">
            <v>1491.8713516099997</v>
          </cell>
          <cell r="BE16">
            <v>279.4499999999998</v>
          </cell>
        </row>
        <row r="17">
          <cell r="B17">
            <v>347</v>
          </cell>
          <cell r="D17">
            <v>577.73</v>
          </cell>
          <cell r="S17">
            <v>1563.7</v>
          </cell>
          <cell r="T17">
            <v>860.12</v>
          </cell>
          <cell r="AB17">
            <v>1231.0300000000002</v>
          </cell>
          <cell r="AC17">
            <v>2668.88</v>
          </cell>
          <cell r="AG17">
            <v>208.2</v>
          </cell>
          <cell r="AH17">
            <v>69.37224</v>
          </cell>
          <cell r="AI17">
            <v>290.54934599999996</v>
          </cell>
          <cell r="AJ17">
            <v>52.298882279999994</v>
          </cell>
          <cell r="AK17">
            <v>285.07517809999996</v>
          </cell>
          <cell r="AL17">
            <v>51.31353205799999</v>
          </cell>
          <cell r="AM17">
            <v>656.0163736999999</v>
          </cell>
          <cell r="AN17">
            <v>118.08294726599998</v>
          </cell>
          <cell r="AP17">
            <v>0</v>
          </cell>
          <cell r="AR17">
            <v>0</v>
          </cell>
          <cell r="AU17">
            <v>0</v>
          </cell>
          <cell r="BA17">
            <v>0</v>
          </cell>
          <cell r="BB17">
            <v>1800.0942594039993</v>
          </cell>
          <cell r="BD17">
            <v>868.7857405960008</v>
          </cell>
          <cell r="BE17">
            <v>-332.66999999999985</v>
          </cell>
        </row>
        <row r="18">
          <cell r="B18">
            <v>347</v>
          </cell>
          <cell r="D18">
            <v>577.73</v>
          </cell>
          <cell r="S18">
            <v>1563.7</v>
          </cell>
          <cell r="T18">
            <v>860.12</v>
          </cell>
          <cell r="AB18">
            <v>1939.5499999999997</v>
          </cell>
          <cell r="AC18">
            <v>3377.3999999999996</v>
          </cell>
          <cell r="AG18">
            <v>208.2</v>
          </cell>
          <cell r="AH18">
            <v>69.4</v>
          </cell>
          <cell r="AI18">
            <v>293.909</v>
          </cell>
          <cell r="AJ18">
            <v>52.90362</v>
          </cell>
          <cell r="AK18">
            <v>288.01</v>
          </cell>
          <cell r="AL18">
            <v>51.8418</v>
          </cell>
          <cell r="AM18">
            <v>661.6525423728814</v>
          </cell>
          <cell r="AN18">
            <v>119.09745762711864</v>
          </cell>
          <cell r="AP18">
            <v>0</v>
          </cell>
          <cell r="AR18">
            <v>0</v>
          </cell>
          <cell r="AS18">
            <v>0</v>
          </cell>
          <cell r="AU18">
            <v>0</v>
          </cell>
          <cell r="BA18">
            <v>0</v>
          </cell>
          <cell r="BB18">
            <v>1829.2664200000002</v>
          </cell>
          <cell r="BD18">
            <v>1548.1335799999995</v>
          </cell>
          <cell r="BE18">
            <v>375.8499999999997</v>
          </cell>
        </row>
        <row r="19">
          <cell r="B19">
            <v>347</v>
          </cell>
          <cell r="D19">
            <v>577.73</v>
          </cell>
          <cell r="S19">
            <v>1563.7</v>
          </cell>
          <cell r="T19">
            <v>860.12</v>
          </cell>
          <cell r="AB19">
            <v>1230.9</v>
          </cell>
          <cell r="AC19">
            <v>2668.75</v>
          </cell>
          <cell r="AG19">
            <v>208.2</v>
          </cell>
          <cell r="AH19">
            <v>69.4</v>
          </cell>
          <cell r="AI19">
            <v>294.95</v>
          </cell>
          <cell r="AJ19">
            <v>53.090999999999994</v>
          </cell>
          <cell r="AK19">
            <v>288.01</v>
          </cell>
          <cell r="AL19">
            <v>51.8418</v>
          </cell>
          <cell r="AM19">
            <v>662.77</v>
          </cell>
          <cell r="AN19">
            <v>119.2986</v>
          </cell>
          <cell r="AP19">
            <v>0</v>
          </cell>
          <cell r="AR19">
            <v>0</v>
          </cell>
          <cell r="AS19">
            <v>0</v>
          </cell>
          <cell r="AU19">
            <v>0</v>
          </cell>
          <cell r="BA19">
            <v>0</v>
          </cell>
          <cell r="BB19">
            <v>1840.7342</v>
          </cell>
          <cell r="BD19">
            <v>828.0157999999999</v>
          </cell>
          <cell r="BE19">
            <v>-332.79999999999995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146">
          <cell r="I146">
            <v>100</v>
          </cell>
          <cell r="R146">
            <v>25</v>
          </cell>
        </row>
      </sheetData>
      <sheetData sheetId="1">
        <row r="147">
          <cell r="S147">
            <v>25</v>
          </cell>
        </row>
        <row r="148">
          <cell r="J148">
            <v>100</v>
          </cell>
        </row>
      </sheetData>
      <sheetData sheetId="2">
        <row r="148">
          <cell r="J148">
            <v>100</v>
          </cell>
          <cell r="S148">
            <v>25</v>
          </cell>
        </row>
      </sheetData>
      <sheetData sheetId="3">
        <row r="150">
          <cell r="S150">
            <v>25</v>
          </cell>
        </row>
      </sheetData>
      <sheetData sheetId="4">
        <row r="148">
          <cell r="J148">
            <v>100</v>
          </cell>
          <cell r="S148">
            <v>25</v>
          </cell>
        </row>
        <row r="205">
          <cell r="J205">
            <v>114</v>
          </cell>
          <cell r="S205">
            <v>28.5</v>
          </cell>
        </row>
      </sheetData>
      <sheetData sheetId="5">
        <row r="148">
          <cell r="J148">
            <v>100</v>
          </cell>
          <cell r="S148">
            <v>25</v>
          </cell>
        </row>
        <row r="205">
          <cell r="J205">
            <v>114</v>
          </cell>
          <cell r="S205">
            <v>28.5</v>
          </cell>
        </row>
      </sheetData>
      <sheetData sheetId="6">
        <row r="153">
          <cell r="J153">
            <v>100</v>
          </cell>
          <cell r="S153">
            <v>25</v>
          </cell>
        </row>
        <row r="209">
          <cell r="J209">
            <v>114</v>
          </cell>
          <cell r="S209">
            <v>28.5</v>
          </cell>
        </row>
      </sheetData>
      <sheetData sheetId="7">
        <row r="156">
          <cell r="J156">
            <v>100</v>
          </cell>
          <cell r="S156">
            <v>25</v>
          </cell>
        </row>
        <row r="213">
          <cell r="J213">
            <v>114</v>
          </cell>
          <cell r="S213">
            <v>28.5</v>
          </cell>
        </row>
      </sheetData>
      <sheetData sheetId="8">
        <row r="156">
          <cell r="J156">
            <v>100</v>
          </cell>
        </row>
        <row r="213">
          <cell r="J213">
            <v>114</v>
          </cell>
        </row>
      </sheetData>
      <sheetData sheetId="9">
        <row r="156">
          <cell r="J156">
            <v>100</v>
          </cell>
          <cell r="S156">
            <v>25</v>
          </cell>
        </row>
        <row r="213">
          <cell r="J213">
            <v>114</v>
          </cell>
          <cell r="S213">
            <v>28.5</v>
          </cell>
        </row>
      </sheetData>
      <sheetData sheetId="10">
        <row r="156">
          <cell r="J156">
            <v>100</v>
          </cell>
          <cell r="S156">
            <v>25</v>
          </cell>
        </row>
        <row r="213">
          <cell r="J213">
            <v>114</v>
          </cell>
          <cell r="S213">
            <v>28.5</v>
          </cell>
        </row>
      </sheetData>
      <sheetData sheetId="11">
        <row r="162">
          <cell r="J162">
            <v>6637.42</v>
          </cell>
          <cell r="S162">
            <v>1659.355</v>
          </cell>
        </row>
        <row r="180">
          <cell r="J180">
            <v>100</v>
          </cell>
          <cell r="S180">
            <v>25</v>
          </cell>
        </row>
        <row r="237">
          <cell r="J237">
            <v>114</v>
          </cell>
          <cell r="S237">
            <v>28.5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50">
          <cell r="J150">
            <v>100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160">
          <cell r="J160">
            <v>0</v>
          </cell>
          <cell r="S160">
            <v>0</v>
          </cell>
        </row>
        <row r="178">
          <cell r="J178">
            <v>100</v>
          </cell>
          <cell r="S178">
            <v>25</v>
          </cell>
        </row>
        <row r="235">
          <cell r="J235">
            <v>114</v>
          </cell>
          <cell r="S235">
            <v>28.5</v>
          </cell>
        </row>
      </sheetData>
      <sheetData sheetId="2">
        <row r="161">
          <cell r="J161">
            <v>2700</v>
          </cell>
          <cell r="S161">
            <v>675</v>
          </cell>
        </row>
        <row r="179">
          <cell r="J179">
            <v>100</v>
          </cell>
          <cell r="S179">
            <v>25</v>
          </cell>
        </row>
        <row r="236">
          <cell r="J236">
            <v>114</v>
          </cell>
          <cell r="S236">
            <v>28.5</v>
          </cell>
        </row>
      </sheetData>
      <sheetData sheetId="3">
        <row r="179">
          <cell r="J179">
            <v>100</v>
          </cell>
          <cell r="S179">
            <v>25</v>
          </cell>
        </row>
        <row r="236">
          <cell r="J236">
            <v>114</v>
          </cell>
          <cell r="S236">
            <v>28.5</v>
          </cell>
        </row>
      </sheetData>
      <sheetData sheetId="4">
        <row r="59">
          <cell r="J59">
            <v>106478.715</v>
          </cell>
          <cell r="S59">
            <v>319.9</v>
          </cell>
        </row>
        <row r="161">
          <cell r="J161">
            <v>1800</v>
          </cell>
          <cell r="S161">
            <v>450</v>
          </cell>
        </row>
        <row r="179">
          <cell r="J179">
            <v>100</v>
          </cell>
          <cell r="S179">
            <v>25</v>
          </cell>
        </row>
        <row r="242">
          <cell r="J242">
            <v>114</v>
          </cell>
          <cell r="S242">
            <v>28.5</v>
          </cell>
        </row>
      </sheetData>
      <sheetData sheetId="5">
        <row r="59">
          <cell r="J59">
            <v>3042.249</v>
          </cell>
          <cell r="S59">
            <v>1884.2109999999998</v>
          </cell>
        </row>
        <row r="192">
          <cell r="J192">
            <v>900</v>
          </cell>
          <cell r="S192">
            <v>225</v>
          </cell>
        </row>
        <row r="210">
          <cell r="J210">
            <v>100</v>
          </cell>
          <cell r="S210">
            <v>25</v>
          </cell>
        </row>
        <row r="273">
          <cell r="J273">
            <v>114</v>
          </cell>
          <cell r="S273">
            <v>28.5</v>
          </cell>
        </row>
      </sheetData>
      <sheetData sheetId="6">
        <row r="59">
          <cell r="J59">
            <v>3042.249</v>
          </cell>
          <cell r="S59">
            <v>2530.4089999999997</v>
          </cell>
        </row>
        <row r="81">
          <cell r="J81">
            <v>65181.682</v>
          </cell>
          <cell r="S81">
            <v>1381.086</v>
          </cell>
        </row>
        <row r="82">
          <cell r="J82">
            <v>65181.682</v>
          </cell>
          <cell r="S82">
            <v>1381.086</v>
          </cell>
        </row>
        <row r="194">
          <cell r="J194">
            <v>450</v>
          </cell>
          <cell r="S194">
            <v>112.5</v>
          </cell>
        </row>
        <row r="212">
          <cell r="J212">
            <v>100</v>
          </cell>
          <cell r="S212">
            <v>25</v>
          </cell>
        </row>
        <row r="275">
          <cell r="J275">
            <v>114</v>
          </cell>
          <cell r="S275">
            <v>28.5</v>
          </cell>
        </row>
      </sheetData>
      <sheetData sheetId="7">
        <row r="59">
          <cell r="J59">
            <v>3042.249</v>
          </cell>
          <cell r="S59">
            <v>2530.4089999999997</v>
          </cell>
        </row>
        <row r="81">
          <cell r="J81">
            <v>1917.108</v>
          </cell>
          <cell r="S81">
            <v>1381.086</v>
          </cell>
        </row>
        <row r="82">
          <cell r="J82">
            <v>1917.108</v>
          </cell>
          <cell r="S82">
            <v>1381.086</v>
          </cell>
        </row>
        <row r="212">
          <cell r="J212">
            <v>100</v>
          </cell>
          <cell r="S212">
            <v>25</v>
          </cell>
        </row>
        <row r="275">
          <cell r="J275">
            <v>114</v>
          </cell>
          <cell r="S275">
            <v>28.5</v>
          </cell>
        </row>
      </sheetData>
      <sheetData sheetId="8">
        <row r="59">
          <cell r="J59">
            <v>3042.249</v>
          </cell>
          <cell r="S59">
            <v>2530.4089999999997</v>
          </cell>
        </row>
        <row r="81">
          <cell r="J81">
            <v>1917.108</v>
          </cell>
          <cell r="S81">
            <v>1381.086</v>
          </cell>
        </row>
        <row r="82">
          <cell r="J82">
            <v>1917.108</v>
          </cell>
          <cell r="S82">
            <v>1381.086</v>
          </cell>
        </row>
        <row r="83">
          <cell r="J83">
            <v>69015.88799999999</v>
          </cell>
          <cell r="S83">
            <v>1381.086</v>
          </cell>
        </row>
        <row r="212">
          <cell r="J212">
            <v>100</v>
          </cell>
          <cell r="S212">
            <v>25</v>
          </cell>
        </row>
        <row r="275">
          <cell r="J275">
            <v>114</v>
          </cell>
          <cell r="S275">
            <v>28.5</v>
          </cell>
        </row>
      </sheetData>
      <sheetData sheetId="9">
        <row r="59">
          <cell r="J59">
            <v>3042.249</v>
          </cell>
          <cell r="S59">
            <v>2530.4089999999997</v>
          </cell>
        </row>
        <row r="80">
          <cell r="J80">
            <v>1917.108</v>
          </cell>
          <cell r="S80">
            <v>1381.086</v>
          </cell>
        </row>
        <row r="81">
          <cell r="J81">
            <v>1917.108</v>
          </cell>
          <cell r="S81">
            <v>1381.086</v>
          </cell>
        </row>
        <row r="82">
          <cell r="J82">
            <v>1917.108</v>
          </cell>
          <cell r="S82">
            <v>1381.086</v>
          </cell>
        </row>
        <row r="211">
          <cell r="J211">
            <v>100</v>
          </cell>
          <cell r="S211">
            <v>25</v>
          </cell>
        </row>
        <row r="274">
          <cell r="J274">
            <v>114</v>
          </cell>
          <cell r="S274">
            <v>28.5</v>
          </cell>
        </row>
      </sheetData>
      <sheetData sheetId="10">
        <row r="59">
          <cell r="J59">
            <v>3042.249</v>
          </cell>
          <cell r="S59">
            <v>2530.4089999999997</v>
          </cell>
        </row>
        <row r="80">
          <cell r="J80">
            <v>1917.108</v>
          </cell>
          <cell r="S80">
            <v>1381.086</v>
          </cell>
        </row>
        <row r="81">
          <cell r="J81">
            <v>1917.108</v>
          </cell>
          <cell r="S81">
            <v>1381.086</v>
          </cell>
        </row>
        <row r="82">
          <cell r="J82">
            <v>1917.108</v>
          </cell>
          <cell r="S82">
            <v>1381.086</v>
          </cell>
        </row>
        <row r="213">
          <cell r="J213">
            <v>100</v>
          </cell>
          <cell r="S213">
            <v>25</v>
          </cell>
        </row>
        <row r="276">
          <cell r="J276">
            <v>114</v>
          </cell>
          <cell r="S276">
            <v>28.5</v>
          </cell>
        </row>
      </sheetData>
      <sheetData sheetId="11">
        <row r="59">
          <cell r="J59">
            <v>3042.249</v>
          </cell>
          <cell r="S59">
            <v>2530.4089999999997</v>
          </cell>
        </row>
        <row r="80">
          <cell r="J80">
            <v>1917.108</v>
          </cell>
          <cell r="S80">
            <v>1381.086</v>
          </cell>
        </row>
        <row r="81">
          <cell r="J81">
            <v>1917.108</v>
          </cell>
          <cell r="S81">
            <v>1381.086</v>
          </cell>
        </row>
        <row r="82">
          <cell r="J82">
            <v>1917.108</v>
          </cell>
          <cell r="S82">
            <v>1381.086</v>
          </cell>
        </row>
        <row r="216">
          <cell r="J216">
            <v>100</v>
          </cell>
          <cell r="S216">
            <v>25</v>
          </cell>
        </row>
        <row r="279">
          <cell r="J279">
            <v>114</v>
          </cell>
          <cell r="S279">
            <v>28.5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P16">
      <selection activeCell="AX42" sqref="AX42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2.00390625" style="2" customWidth="1"/>
    <col min="4" max="4" width="10.375" style="2" customWidth="1"/>
    <col min="5" max="5" width="8.875" style="2" customWidth="1"/>
    <col min="6" max="6" width="9.00390625" style="2" customWidth="1"/>
    <col min="7" max="7" width="9.87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0.25390625" style="2" customWidth="1"/>
    <col min="33" max="37" width="9.25390625" style="2" bestFit="1" customWidth="1"/>
    <col min="38" max="38" width="10.125" style="2" bestFit="1" customWidth="1"/>
    <col min="39" max="41" width="9.25390625" style="2" bestFit="1" customWidth="1"/>
    <col min="42" max="42" width="10.125" style="2" bestFit="1" customWidth="1"/>
    <col min="43" max="43" width="9.25390625" style="2" bestFit="1" customWidth="1"/>
    <col min="44" max="44" width="10.625" style="2" customWidth="1"/>
    <col min="45" max="45" width="10.25390625" style="2" customWidth="1"/>
    <col min="46" max="47" width="10.125" style="2" bestFit="1" customWidth="1"/>
    <col min="48" max="48" width="10.375" style="2" customWidth="1"/>
    <col min="49" max="49" width="10.75390625" style="2" customWidth="1"/>
    <col min="50" max="50" width="14.00390625" style="2" customWidth="1"/>
    <col min="51" max="51" width="9.125" style="2" customWidth="1"/>
    <col min="52" max="52" width="11.00390625" style="2" customWidth="1"/>
    <col min="53" max="53" width="9.125" style="2" customWidth="1"/>
    <col min="54" max="54" width="12.00390625" style="2" customWidth="1"/>
    <col min="55" max="55" width="9.125" style="2" customWidth="1"/>
    <col min="56" max="56" width="10.875" style="2" customWidth="1"/>
    <col min="57" max="57" width="10.75390625" style="2" customWidth="1"/>
    <col min="58" max="58" width="10.25390625" style="2" customWidth="1"/>
    <col min="59" max="16384" width="9.125" style="2" customWidth="1"/>
  </cols>
  <sheetData>
    <row r="1" spans="1:18" ht="12.75">
      <c r="A1" s="369" t="s">
        <v>76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338" t="s">
        <v>78</v>
      </c>
      <c r="B3" s="371" t="s">
        <v>0</v>
      </c>
      <c r="C3" s="373" t="s">
        <v>1</v>
      </c>
      <c r="D3" s="375" t="s">
        <v>2</v>
      </c>
      <c r="E3" s="338" t="s">
        <v>11</v>
      </c>
      <c r="F3" s="339"/>
      <c r="G3" s="338" t="s">
        <v>12</v>
      </c>
      <c r="H3" s="342"/>
      <c r="I3" s="338" t="s">
        <v>13</v>
      </c>
      <c r="J3" s="342"/>
      <c r="K3" s="338" t="s">
        <v>14</v>
      </c>
      <c r="L3" s="342"/>
      <c r="M3" s="345" t="s">
        <v>15</v>
      </c>
      <c r="N3" s="342"/>
      <c r="O3" s="338" t="s">
        <v>16</v>
      </c>
      <c r="P3" s="342"/>
      <c r="Q3" s="338" t="s">
        <v>17</v>
      </c>
      <c r="R3" s="342"/>
      <c r="S3" s="338" t="s">
        <v>3</v>
      </c>
      <c r="T3" s="345"/>
      <c r="U3" s="360" t="s">
        <v>4</v>
      </c>
      <c r="V3" s="361"/>
      <c r="W3" s="361"/>
      <c r="X3" s="361"/>
      <c r="Y3" s="361"/>
      <c r="Z3" s="361"/>
      <c r="AA3" s="361"/>
      <c r="AB3" s="361"/>
      <c r="AC3" s="364" t="s">
        <v>79</v>
      </c>
      <c r="AD3" s="353" t="s">
        <v>6</v>
      </c>
      <c r="AE3" s="353" t="s">
        <v>7</v>
      </c>
      <c r="AF3" s="356" t="s">
        <v>80</v>
      </c>
      <c r="AG3" s="312" t="s">
        <v>8</v>
      </c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4"/>
      <c r="BC3" s="318" t="s">
        <v>81</v>
      </c>
      <c r="BD3" s="319"/>
      <c r="BE3" s="320" t="s">
        <v>9</v>
      </c>
      <c r="BF3" s="320" t="s">
        <v>10</v>
      </c>
    </row>
    <row r="4" spans="1:58" ht="36" customHeight="1" thickBot="1">
      <c r="A4" s="370"/>
      <c r="B4" s="372"/>
      <c r="C4" s="374"/>
      <c r="D4" s="376"/>
      <c r="E4" s="340"/>
      <c r="F4" s="341"/>
      <c r="G4" s="343"/>
      <c r="H4" s="344"/>
      <c r="I4" s="343"/>
      <c r="J4" s="344"/>
      <c r="K4" s="343"/>
      <c r="L4" s="344"/>
      <c r="M4" s="346"/>
      <c r="N4" s="347"/>
      <c r="O4" s="343"/>
      <c r="P4" s="344"/>
      <c r="Q4" s="343"/>
      <c r="R4" s="344"/>
      <c r="S4" s="343"/>
      <c r="T4" s="359"/>
      <c r="U4" s="362"/>
      <c r="V4" s="363"/>
      <c r="W4" s="363"/>
      <c r="X4" s="363"/>
      <c r="Y4" s="363"/>
      <c r="Z4" s="363"/>
      <c r="AA4" s="363"/>
      <c r="AB4" s="363"/>
      <c r="AC4" s="365"/>
      <c r="AD4" s="354"/>
      <c r="AE4" s="354"/>
      <c r="AF4" s="357"/>
      <c r="AG4" s="315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7"/>
      <c r="BC4" s="332" t="s">
        <v>82</v>
      </c>
      <c r="BD4" s="310" t="s">
        <v>83</v>
      </c>
      <c r="BE4" s="321"/>
      <c r="BF4" s="321"/>
    </row>
    <row r="5" spans="1:58" ht="29.25" customHeight="1" thickBot="1">
      <c r="A5" s="370"/>
      <c r="B5" s="372"/>
      <c r="C5" s="374"/>
      <c r="D5" s="376"/>
      <c r="E5" s="377" t="s">
        <v>18</v>
      </c>
      <c r="F5" s="348" t="s">
        <v>19</v>
      </c>
      <c r="G5" s="348" t="s">
        <v>18</v>
      </c>
      <c r="H5" s="348" t="s">
        <v>19</v>
      </c>
      <c r="I5" s="348" t="s">
        <v>18</v>
      </c>
      <c r="J5" s="348" t="s">
        <v>19</v>
      </c>
      <c r="K5" s="348" t="s">
        <v>18</v>
      </c>
      <c r="L5" s="348" t="s">
        <v>19</v>
      </c>
      <c r="M5" s="348" t="s">
        <v>18</v>
      </c>
      <c r="N5" s="348" t="s">
        <v>19</v>
      </c>
      <c r="O5" s="348" t="s">
        <v>18</v>
      </c>
      <c r="P5" s="348" t="s">
        <v>19</v>
      </c>
      <c r="Q5" s="348" t="s">
        <v>18</v>
      </c>
      <c r="R5" s="348" t="s">
        <v>19</v>
      </c>
      <c r="S5" s="348" t="s">
        <v>18</v>
      </c>
      <c r="T5" s="367" t="s">
        <v>19</v>
      </c>
      <c r="U5" s="328" t="s">
        <v>20</v>
      </c>
      <c r="V5" s="328" t="s">
        <v>21</v>
      </c>
      <c r="W5" s="328" t="s">
        <v>22</v>
      </c>
      <c r="X5" s="328" t="s">
        <v>23</v>
      </c>
      <c r="Y5" s="328" t="s">
        <v>24</v>
      </c>
      <c r="Z5" s="328" t="s">
        <v>25</v>
      </c>
      <c r="AA5" s="328" t="s">
        <v>26</v>
      </c>
      <c r="AB5" s="352" t="s">
        <v>27</v>
      </c>
      <c r="AC5" s="365"/>
      <c r="AD5" s="354"/>
      <c r="AE5" s="354"/>
      <c r="AF5" s="357"/>
      <c r="AG5" s="350" t="s">
        <v>28</v>
      </c>
      <c r="AH5" s="330" t="s">
        <v>29</v>
      </c>
      <c r="AI5" s="330" t="s">
        <v>30</v>
      </c>
      <c r="AJ5" s="323" t="s">
        <v>31</v>
      </c>
      <c r="AK5" s="330" t="s">
        <v>32</v>
      </c>
      <c r="AL5" s="323" t="s">
        <v>31</v>
      </c>
      <c r="AM5" s="323" t="s">
        <v>33</v>
      </c>
      <c r="AN5" s="323" t="s">
        <v>31</v>
      </c>
      <c r="AO5" s="323" t="s">
        <v>34</v>
      </c>
      <c r="AP5" s="323" t="s">
        <v>31</v>
      </c>
      <c r="AQ5" s="324" t="s">
        <v>84</v>
      </c>
      <c r="AR5" s="326" t="s">
        <v>31</v>
      </c>
      <c r="AS5" s="308" t="s">
        <v>85</v>
      </c>
      <c r="AT5" s="308" t="s">
        <v>86</v>
      </c>
      <c r="AU5" s="110" t="s">
        <v>31</v>
      </c>
      <c r="AV5" s="318" t="s">
        <v>87</v>
      </c>
      <c r="AW5" s="335"/>
      <c r="AX5" s="319"/>
      <c r="AY5" s="336" t="s">
        <v>17</v>
      </c>
      <c r="AZ5" s="310" t="s">
        <v>36</v>
      </c>
      <c r="BA5" s="310" t="s">
        <v>31</v>
      </c>
      <c r="BB5" s="310" t="s">
        <v>37</v>
      </c>
      <c r="BC5" s="333"/>
      <c r="BD5" s="323"/>
      <c r="BE5" s="321"/>
      <c r="BF5" s="321"/>
    </row>
    <row r="6" spans="1:58" ht="54" customHeight="1" thickBot="1">
      <c r="A6" s="370"/>
      <c r="B6" s="372"/>
      <c r="C6" s="374"/>
      <c r="D6" s="376"/>
      <c r="E6" s="378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68"/>
      <c r="U6" s="329"/>
      <c r="V6" s="329"/>
      <c r="W6" s="329"/>
      <c r="X6" s="329"/>
      <c r="Y6" s="329"/>
      <c r="Z6" s="329"/>
      <c r="AA6" s="329"/>
      <c r="AB6" s="315"/>
      <c r="AC6" s="366"/>
      <c r="AD6" s="355"/>
      <c r="AE6" s="355"/>
      <c r="AF6" s="358"/>
      <c r="AG6" s="351"/>
      <c r="AH6" s="331"/>
      <c r="AI6" s="331"/>
      <c r="AJ6" s="311"/>
      <c r="AK6" s="331"/>
      <c r="AL6" s="311"/>
      <c r="AM6" s="311"/>
      <c r="AN6" s="311"/>
      <c r="AO6" s="311"/>
      <c r="AP6" s="311"/>
      <c r="AQ6" s="325"/>
      <c r="AR6" s="327"/>
      <c r="AS6" s="309"/>
      <c r="AT6" s="309"/>
      <c r="AU6" s="112"/>
      <c r="AV6" s="111" t="s">
        <v>88</v>
      </c>
      <c r="AW6" s="111" t="s">
        <v>89</v>
      </c>
      <c r="AX6" s="111" t="s">
        <v>90</v>
      </c>
      <c r="AY6" s="337"/>
      <c r="AZ6" s="311"/>
      <c r="BA6" s="311"/>
      <c r="BB6" s="311"/>
      <c r="BC6" s="334"/>
      <c r="BD6" s="311"/>
      <c r="BE6" s="322"/>
      <c r="BF6" s="322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113">
        <v>43</v>
      </c>
      <c r="AR7" s="114">
        <v>44</v>
      </c>
      <c r="AS7" s="115">
        <v>45</v>
      </c>
      <c r="AT7" s="10">
        <v>46</v>
      </c>
      <c r="AU7" s="115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16"/>
    </row>
    <row r="8" spans="1:58" ht="12.75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117"/>
      <c r="AR8" s="117"/>
      <c r="AS8" s="6"/>
      <c r="AT8" s="6"/>
      <c r="AU8" s="6"/>
      <c r="AV8" s="7"/>
      <c r="AW8" s="7"/>
      <c r="AX8" s="7"/>
      <c r="AY8" s="7"/>
      <c r="AZ8" s="118"/>
      <c r="BA8" s="1"/>
      <c r="BB8" s="1"/>
      <c r="BC8" s="1"/>
      <c r="BD8" s="1"/>
      <c r="BE8" s="1"/>
      <c r="BF8" s="116"/>
    </row>
    <row r="9" spans="1:58" s="134" customFormat="1" ht="12.75">
      <c r="A9" s="119" t="s">
        <v>39</v>
      </c>
      <c r="B9" s="80">
        <v>4342.4</v>
      </c>
      <c r="C9" s="120">
        <f>B9*8.65</f>
        <v>37561.759999999995</v>
      </c>
      <c r="D9" s="121">
        <f>C9*0.24088</f>
        <v>9047.8767488</v>
      </c>
      <c r="E9" s="81">
        <v>2864.93</v>
      </c>
      <c r="F9" s="81">
        <v>798.4</v>
      </c>
      <c r="G9" s="81">
        <v>3867.73</v>
      </c>
      <c r="H9" s="81">
        <v>1077.84</v>
      </c>
      <c r="I9" s="81">
        <v>9311.15</v>
      </c>
      <c r="J9" s="81">
        <v>2594.8</v>
      </c>
      <c r="K9" s="81">
        <v>6446.22</v>
      </c>
      <c r="L9" s="81">
        <v>1796.4</v>
      </c>
      <c r="M9" s="78">
        <v>2291.95</v>
      </c>
      <c r="N9" s="78">
        <v>638.73</v>
      </c>
      <c r="O9" s="81">
        <v>0</v>
      </c>
      <c r="P9" s="81">
        <v>0</v>
      </c>
      <c r="Q9" s="81">
        <v>0</v>
      </c>
      <c r="R9" s="81">
        <v>0</v>
      </c>
      <c r="S9" s="81">
        <f>E9+G9+I9+K9+M9+O9+Q9</f>
        <v>24781.98</v>
      </c>
      <c r="T9" s="122">
        <f>P9+N9+L9+J9+H9+F9+R9</f>
        <v>6906.17</v>
      </c>
      <c r="U9" s="81">
        <v>75.17</v>
      </c>
      <c r="V9" s="81">
        <v>101.47</v>
      </c>
      <c r="W9" s="81">
        <v>244.29</v>
      </c>
      <c r="X9" s="81">
        <v>169.12</v>
      </c>
      <c r="Y9" s="81">
        <v>60.13</v>
      </c>
      <c r="Z9" s="89">
        <v>0</v>
      </c>
      <c r="AA9" s="89">
        <v>0</v>
      </c>
      <c r="AB9" s="89">
        <f>SUM(U9:AA9)</f>
        <v>650.18</v>
      </c>
      <c r="AC9" s="123">
        <f>D9+T9+AB9</f>
        <v>16604.2267488</v>
      </c>
      <c r="AD9" s="124">
        <f>P9+Z9</f>
        <v>0</v>
      </c>
      <c r="AE9" s="125">
        <f>R9+AA9</f>
        <v>0</v>
      </c>
      <c r="AF9" s="125"/>
      <c r="AG9" s="24">
        <f>0.6*B9</f>
        <v>2605.4399999999996</v>
      </c>
      <c r="AH9" s="24">
        <f>B9*0.2*1.05826</f>
        <v>919.0776448</v>
      </c>
      <c r="AI9" s="24">
        <f>0.8518*B9-0.01</f>
        <v>3698.8463199999997</v>
      </c>
      <c r="AJ9" s="24">
        <f>AI9*0.18</f>
        <v>665.7923375999999</v>
      </c>
      <c r="AK9" s="24">
        <f>1.04*B9*0.9531</f>
        <v>4304.291097599999</v>
      </c>
      <c r="AL9" s="24">
        <f>AK9*0.18</f>
        <v>774.7723975679999</v>
      </c>
      <c r="AM9" s="24">
        <f>(1.91)*B9*0.9531</f>
        <v>7904.996150399998</v>
      </c>
      <c r="AN9" s="24">
        <f>AM9*0.18</f>
        <v>1422.8993070719996</v>
      </c>
      <c r="AO9" s="24"/>
      <c r="AP9" s="24">
        <f>AO9*0.18</f>
        <v>0</v>
      </c>
      <c r="AQ9" s="126"/>
      <c r="AR9" s="126"/>
      <c r="AS9" s="86">
        <v>12941.31</v>
      </c>
      <c r="AT9" s="86"/>
      <c r="AU9" s="86">
        <f>(AS9+AT9)*0.18</f>
        <v>2329.4357999999997</v>
      </c>
      <c r="AV9" s="127"/>
      <c r="AW9" s="185"/>
      <c r="AX9" s="24">
        <f>AW9*1.12*1.18</f>
        <v>0</v>
      </c>
      <c r="AY9" s="129"/>
      <c r="AZ9" s="169"/>
      <c r="BA9" s="130">
        <f>AZ9*0.18</f>
        <v>0</v>
      </c>
      <c r="BB9" s="130">
        <f>SUM(AG9:BA9)-AV9-AW9</f>
        <v>37566.86105504</v>
      </c>
      <c r="BC9" s="131"/>
      <c r="BD9" s="17">
        <f>BB9-(AF9-BC9)</f>
        <v>37566.86105504</v>
      </c>
      <c r="BE9" s="132">
        <f>AC9-BB9</f>
        <v>-20962.634306239997</v>
      </c>
      <c r="BF9" s="133">
        <f>AB9-S9</f>
        <v>-24131.8</v>
      </c>
    </row>
    <row r="10" spans="1:58" ht="12.75">
      <c r="A10" s="13" t="s">
        <v>40</v>
      </c>
      <c r="B10" s="80">
        <v>4342.4</v>
      </c>
      <c r="C10" s="120">
        <f>B10*8.65</f>
        <v>37561.759999999995</v>
      </c>
      <c r="D10" s="121">
        <f>C10*0.24088</f>
        <v>9047.8767488</v>
      </c>
      <c r="E10" s="81">
        <v>2748.63</v>
      </c>
      <c r="F10" s="81">
        <v>786.45</v>
      </c>
      <c r="G10" s="81">
        <v>3710.56</v>
      </c>
      <c r="H10" s="81">
        <v>1061.73</v>
      </c>
      <c r="I10" s="81">
        <v>8932.93</v>
      </c>
      <c r="J10" s="81">
        <v>2555.93</v>
      </c>
      <c r="K10" s="81">
        <v>6184.4</v>
      </c>
      <c r="L10" s="81">
        <v>1769.44</v>
      </c>
      <c r="M10" s="78">
        <v>2198.84</v>
      </c>
      <c r="N10" s="78">
        <v>629.14</v>
      </c>
      <c r="O10" s="81">
        <v>0</v>
      </c>
      <c r="P10" s="81">
        <v>0</v>
      </c>
      <c r="Q10" s="81">
        <v>0</v>
      </c>
      <c r="R10" s="81">
        <v>0</v>
      </c>
      <c r="S10" s="81">
        <f>E10+G10+I10+K10+M10+O10+Q10</f>
        <v>23775.36</v>
      </c>
      <c r="T10" s="122">
        <f>P10+N10+L10+J10+H10+F10+R10</f>
        <v>6802.69</v>
      </c>
      <c r="U10" s="81">
        <v>2269.27</v>
      </c>
      <c r="V10" s="81">
        <v>3063.49</v>
      </c>
      <c r="W10" s="81">
        <v>7657.19</v>
      </c>
      <c r="X10" s="81">
        <v>5105.76</v>
      </c>
      <c r="Y10" s="81">
        <v>1815.43</v>
      </c>
      <c r="Z10" s="81">
        <v>0</v>
      </c>
      <c r="AA10" s="89">
        <v>0</v>
      </c>
      <c r="AB10" s="135">
        <f>SUM(U10:AA10)</f>
        <v>19911.14</v>
      </c>
      <c r="AC10" s="136">
        <f>D10+T10+AB10</f>
        <v>35761.7067488</v>
      </c>
      <c r="AD10" s="125">
        <f>P10+Z10</f>
        <v>0</v>
      </c>
      <c r="AE10" s="125">
        <f>R10+AA10</f>
        <v>0</v>
      </c>
      <c r="AF10" s="125"/>
      <c r="AG10" s="24">
        <f>0.6*B10</f>
        <v>2605.4399999999996</v>
      </c>
      <c r="AH10" s="24">
        <f>B10*0.201</f>
        <v>872.8224</v>
      </c>
      <c r="AI10" s="24">
        <f>0.8518*B10-0.01</f>
        <v>3698.8463199999997</v>
      </c>
      <c r="AJ10" s="24">
        <f>AI10*0.18</f>
        <v>665.7923375999999</v>
      </c>
      <c r="AK10" s="24">
        <f>1.04*B10*0.9531</f>
        <v>4304.291097599999</v>
      </c>
      <c r="AL10" s="24">
        <f>AK10*0.18</f>
        <v>774.7723975679999</v>
      </c>
      <c r="AM10" s="24">
        <f>(1.91)*B10*0.9531</f>
        <v>7904.996150399998</v>
      </c>
      <c r="AN10" s="24">
        <f>AM10*0.18</f>
        <v>1422.8993070719996</v>
      </c>
      <c r="AO10" s="24"/>
      <c r="AP10" s="24">
        <f>AO10*0.18</f>
        <v>0</v>
      </c>
      <c r="AQ10" s="126"/>
      <c r="AR10" s="126"/>
      <c r="AS10" s="86">
        <v>1930</v>
      </c>
      <c r="AT10" s="86"/>
      <c r="AU10" s="86">
        <f>(AS10+AT10)*0.18</f>
        <v>347.4</v>
      </c>
      <c r="AV10" s="127"/>
      <c r="AW10" s="185"/>
      <c r="AX10" s="24">
        <f>AW10*1.12*1.18</f>
        <v>0</v>
      </c>
      <c r="AY10" s="129"/>
      <c r="AZ10" s="169"/>
      <c r="BA10" s="130">
        <f>AZ10*0.18</f>
        <v>0</v>
      </c>
      <c r="BB10" s="130">
        <f>SUM(AG10:BA10)-AV10-AW10</f>
        <v>24527.26001024</v>
      </c>
      <c r="BC10" s="131"/>
      <c r="BD10" s="17">
        <f>BB10-(AF10-BC10)</f>
        <v>24527.26001024</v>
      </c>
      <c r="BE10" s="132">
        <f>AC10-BB10</f>
        <v>11234.446738560004</v>
      </c>
      <c r="BF10" s="132">
        <f>AB10-S10</f>
        <v>-3864.220000000001</v>
      </c>
    </row>
    <row r="11" spans="1:58" ht="13.5" thickBot="1">
      <c r="A11" s="49" t="s">
        <v>41</v>
      </c>
      <c r="B11" s="80">
        <v>4342.4</v>
      </c>
      <c r="C11" s="120">
        <f>B11*8.65</f>
        <v>37561.759999999995</v>
      </c>
      <c r="D11" s="121">
        <f>C11*0.24035</f>
        <v>9027.969016</v>
      </c>
      <c r="E11" s="81">
        <v>2784.17</v>
      </c>
      <c r="F11" s="81">
        <v>788.72</v>
      </c>
      <c r="G11" s="81">
        <v>3758.65</v>
      </c>
      <c r="H11" s="81">
        <v>1064.78</v>
      </c>
      <c r="I11" s="81">
        <v>9048.63</v>
      </c>
      <c r="J11" s="81">
        <v>2563.29</v>
      </c>
      <c r="K11" s="81">
        <v>6264.49</v>
      </c>
      <c r="L11" s="81">
        <v>1774.56</v>
      </c>
      <c r="M11" s="78">
        <v>2227.34</v>
      </c>
      <c r="N11" s="82">
        <v>630.96</v>
      </c>
      <c r="O11" s="89">
        <v>0</v>
      </c>
      <c r="P11" s="89">
        <v>0</v>
      </c>
      <c r="Q11" s="89">
        <v>0</v>
      </c>
      <c r="R11" s="89">
        <v>0</v>
      </c>
      <c r="S11" s="81">
        <f>E11+G11+I11+K11+M11+O11+Q11</f>
        <v>24083.28</v>
      </c>
      <c r="T11" s="122">
        <f>P11+N11+L11+J11+H11+F11+R11</f>
        <v>6822.3099999999995</v>
      </c>
      <c r="U11" s="81">
        <v>3071.34</v>
      </c>
      <c r="V11" s="81">
        <v>4146.33</v>
      </c>
      <c r="W11" s="81">
        <v>10099.68</v>
      </c>
      <c r="X11" s="81">
        <v>6910.63</v>
      </c>
      <c r="Y11" s="81">
        <v>2457.1</v>
      </c>
      <c r="Z11" s="81">
        <v>0</v>
      </c>
      <c r="AA11" s="89">
        <v>0</v>
      </c>
      <c r="AB11" s="135">
        <f>SUM(U11:AA11)</f>
        <v>26685.079999999998</v>
      </c>
      <c r="AC11" s="136">
        <f>D11+T11+AB11</f>
        <v>42535.359015999995</v>
      </c>
      <c r="AD11" s="125">
        <f>P11+Z11</f>
        <v>0</v>
      </c>
      <c r="AE11" s="125">
        <f>R11+AA11</f>
        <v>0</v>
      </c>
      <c r="AF11" s="125"/>
      <c r="AG11" s="24">
        <f>0.6*B11</f>
        <v>2605.4399999999996</v>
      </c>
      <c r="AH11" s="24">
        <f>B11*0.2*1.02524</f>
        <v>890.4004352</v>
      </c>
      <c r="AI11" s="24">
        <f>0.84932*B11</f>
        <v>3688.0871679999996</v>
      </c>
      <c r="AJ11" s="24">
        <f>AI11*0.18</f>
        <v>663.85569024</v>
      </c>
      <c r="AK11" s="24">
        <f>1.04*B11*0.95033</f>
        <v>4291.781511679999</v>
      </c>
      <c r="AL11" s="24">
        <f>AK11*0.18</f>
        <v>772.5206721023999</v>
      </c>
      <c r="AM11" s="24">
        <f>(1.91)*B11*0.95033-0.1</f>
        <v>7881.921814719998</v>
      </c>
      <c r="AN11" s="24">
        <f>AM11*0.18</f>
        <v>1418.7459266495996</v>
      </c>
      <c r="AO11" s="24"/>
      <c r="AP11" s="24">
        <f>AO11*0.18</f>
        <v>0</v>
      </c>
      <c r="AQ11" s="126"/>
      <c r="AR11" s="126"/>
      <c r="AS11" s="86">
        <v>8081</v>
      </c>
      <c r="AT11" s="86"/>
      <c r="AU11" s="86">
        <f>(AS11+AT11)*0.18</f>
        <v>1454.58</v>
      </c>
      <c r="AV11" s="127"/>
      <c r="AW11" s="185"/>
      <c r="AX11" s="24">
        <f>AW11*1.12*1.18</f>
        <v>0</v>
      </c>
      <c r="AY11" s="129"/>
      <c r="AZ11" s="169"/>
      <c r="BA11" s="130">
        <f>AZ11*0.18</f>
        <v>0</v>
      </c>
      <c r="BB11" s="130">
        <f>SUM(AG11:BA11)-AV11-AW11</f>
        <v>31748.333218592</v>
      </c>
      <c r="BC11" s="131"/>
      <c r="BD11" s="17">
        <f>BB11-(AF11-BC11)</f>
        <v>31748.333218592</v>
      </c>
      <c r="BE11" s="132">
        <f>AC11-BB11</f>
        <v>10787.025797407994</v>
      </c>
      <c r="BF11" s="132">
        <f>AB11-S11</f>
        <v>2601.7999999999993</v>
      </c>
    </row>
    <row r="12" spans="1:58" s="23" customFormat="1" ht="15" customHeight="1" thickBot="1">
      <c r="A12" s="50" t="s">
        <v>3</v>
      </c>
      <c r="B12" s="75"/>
      <c r="C12" s="75">
        <f>SUM(C9:C11)</f>
        <v>112685.27999999998</v>
      </c>
      <c r="D12" s="75">
        <f aca="true" t="shared" si="0" ref="D12:BD12">SUM(D9:D11)</f>
        <v>27123.722513599998</v>
      </c>
      <c r="E12" s="75">
        <f t="shared" si="0"/>
        <v>8397.73</v>
      </c>
      <c r="F12" s="75">
        <f t="shared" si="0"/>
        <v>2373.5699999999997</v>
      </c>
      <c r="G12" s="75">
        <f t="shared" si="0"/>
        <v>11336.94</v>
      </c>
      <c r="H12" s="75">
        <f t="shared" si="0"/>
        <v>3204.3499999999995</v>
      </c>
      <c r="I12" s="75">
        <f t="shared" si="0"/>
        <v>27292.71</v>
      </c>
      <c r="J12" s="75">
        <f t="shared" si="0"/>
        <v>7714.0199999999995</v>
      </c>
      <c r="K12" s="75">
        <f t="shared" si="0"/>
        <v>18895.11</v>
      </c>
      <c r="L12" s="75">
        <f t="shared" si="0"/>
        <v>5340.4</v>
      </c>
      <c r="M12" s="75">
        <f t="shared" si="0"/>
        <v>6718.13</v>
      </c>
      <c r="N12" s="75">
        <f t="shared" si="0"/>
        <v>1898.83</v>
      </c>
      <c r="O12" s="75">
        <f t="shared" si="0"/>
        <v>0</v>
      </c>
      <c r="P12" s="75">
        <f t="shared" si="0"/>
        <v>0</v>
      </c>
      <c r="Q12" s="75">
        <f t="shared" si="0"/>
        <v>0</v>
      </c>
      <c r="R12" s="75">
        <f t="shared" si="0"/>
        <v>0</v>
      </c>
      <c r="S12" s="75">
        <f t="shared" si="0"/>
        <v>72640.62</v>
      </c>
      <c r="T12" s="75">
        <f t="shared" si="0"/>
        <v>20531.17</v>
      </c>
      <c r="U12" s="75">
        <f t="shared" si="0"/>
        <v>5415.780000000001</v>
      </c>
      <c r="V12" s="75">
        <f t="shared" si="0"/>
        <v>7311.289999999999</v>
      </c>
      <c r="W12" s="75">
        <f t="shared" si="0"/>
        <v>18001.16</v>
      </c>
      <c r="X12" s="75">
        <f t="shared" si="0"/>
        <v>12185.51</v>
      </c>
      <c r="Y12" s="75">
        <f t="shared" si="0"/>
        <v>4332.66</v>
      </c>
      <c r="Z12" s="75">
        <f t="shared" si="0"/>
        <v>0</v>
      </c>
      <c r="AA12" s="75">
        <f t="shared" si="0"/>
        <v>0</v>
      </c>
      <c r="AB12" s="75">
        <f t="shared" si="0"/>
        <v>47246.399999999994</v>
      </c>
      <c r="AC12" s="75">
        <f t="shared" si="0"/>
        <v>94901.2925136</v>
      </c>
      <c r="AD12" s="75">
        <f t="shared" si="0"/>
        <v>0</v>
      </c>
      <c r="AE12" s="75">
        <f t="shared" si="0"/>
        <v>0</v>
      </c>
      <c r="AF12" s="75">
        <f t="shared" si="0"/>
        <v>0</v>
      </c>
      <c r="AG12" s="75">
        <f t="shared" si="0"/>
        <v>7816.319999999999</v>
      </c>
      <c r="AH12" s="75">
        <f t="shared" si="0"/>
        <v>2682.30048</v>
      </c>
      <c r="AI12" s="75">
        <f t="shared" si="0"/>
        <v>11085.779808</v>
      </c>
      <c r="AJ12" s="75">
        <f t="shared" si="0"/>
        <v>1995.4403654399998</v>
      </c>
      <c r="AK12" s="75">
        <f t="shared" si="0"/>
        <v>12900.363706879998</v>
      </c>
      <c r="AL12" s="75">
        <f t="shared" si="0"/>
        <v>2322.0654672384</v>
      </c>
      <c r="AM12" s="75">
        <f t="shared" si="0"/>
        <v>23691.914115519994</v>
      </c>
      <c r="AN12" s="75">
        <f t="shared" si="0"/>
        <v>4264.544540793599</v>
      </c>
      <c r="AO12" s="75">
        <f t="shared" si="0"/>
        <v>0</v>
      </c>
      <c r="AP12" s="75">
        <f t="shared" si="0"/>
        <v>0</v>
      </c>
      <c r="AQ12" s="137">
        <f t="shared" si="0"/>
        <v>0</v>
      </c>
      <c r="AR12" s="137">
        <f t="shared" si="0"/>
        <v>0</v>
      </c>
      <c r="AS12" s="138">
        <f t="shared" si="0"/>
        <v>22952.309999999998</v>
      </c>
      <c r="AT12" s="138">
        <f t="shared" si="0"/>
        <v>0</v>
      </c>
      <c r="AU12" s="138">
        <f t="shared" si="0"/>
        <v>4131.4158</v>
      </c>
      <c r="AV12" s="75">
        <f t="shared" si="0"/>
        <v>0</v>
      </c>
      <c r="AW12" s="75">
        <f t="shared" si="0"/>
        <v>0</v>
      </c>
      <c r="AX12" s="75">
        <f t="shared" si="0"/>
        <v>0</v>
      </c>
      <c r="AY12" s="75">
        <f t="shared" si="0"/>
        <v>0</v>
      </c>
      <c r="AZ12" s="75">
        <f t="shared" si="0"/>
        <v>0</v>
      </c>
      <c r="BA12" s="75">
        <f t="shared" si="0"/>
        <v>0</v>
      </c>
      <c r="BB12" s="75">
        <f t="shared" si="0"/>
        <v>93842.454283872</v>
      </c>
      <c r="BC12" s="75">
        <f t="shared" si="0"/>
        <v>0</v>
      </c>
      <c r="BD12" s="75">
        <f t="shared" si="0"/>
        <v>93842.454283872</v>
      </c>
      <c r="BE12" s="75">
        <f>SUM(BE9:BE11)</f>
        <v>1058.8382297280004</v>
      </c>
      <c r="BF12" s="139">
        <f>SUM(BF9:BF11)</f>
        <v>-25394.22</v>
      </c>
    </row>
    <row r="13" spans="1:58" ht="15" customHeight="1">
      <c r="A13" s="8" t="s">
        <v>42</v>
      </c>
      <c r="B13" s="72"/>
      <c r="C13" s="140"/>
      <c r="D13" s="140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2"/>
      <c r="P13" s="143"/>
      <c r="Q13" s="144"/>
      <c r="R13" s="144"/>
      <c r="S13" s="144"/>
      <c r="T13" s="144"/>
      <c r="U13" s="145"/>
      <c r="V13" s="145"/>
      <c r="W13" s="145"/>
      <c r="X13" s="145"/>
      <c r="Y13" s="145"/>
      <c r="Z13" s="145"/>
      <c r="AA13" s="146"/>
      <c r="AB13" s="146"/>
      <c r="AC13" s="147"/>
      <c r="AD13" s="148"/>
      <c r="AE13" s="148"/>
      <c r="AF13" s="60"/>
      <c r="AG13" s="60"/>
      <c r="AH13" s="60"/>
      <c r="AI13" s="60"/>
      <c r="AJ13" s="60"/>
      <c r="AK13" s="60"/>
      <c r="AL13" s="60"/>
      <c r="AM13" s="60"/>
      <c r="AN13" s="73"/>
      <c r="AO13" s="73"/>
      <c r="AP13" s="73"/>
      <c r="AQ13" s="149"/>
      <c r="AR13" s="150"/>
      <c r="AS13" s="108"/>
      <c r="AT13" s="108"/>
      <c r="AU13" s="151"/>
      <c r="AV13" s="60"/>
      <c r="AW13" s="60"/>
      <c r="AX13" s="61"/>
      <c r="AY13" s="1"/>
      <c r="AZ13" s="1"/>
      <c r="BA13" s="1"/>
      <c r="BB13" s="1"/>
      <c r="BC13" s="1"/>
      <c r="BD13" s="1"/>
      <c r="BE13" s="1"/>
      <c r="BF13" s="116"/>
    </row>
    <row r="14" spans="1:58" ht="12.75">
      <c r="A14" s="13" t="s">
        <v>43</v>
      </c>
      <c r="B14" s="87">
        <v>4342.4</v>
      </c>
      <c r="C14" s="120">
        <f aca="true" t="shared" si="1" ref="C14:C25">B14*8.65</f>
        <v>37561.759999999995</v>
      </c>
      <c r="D14" s="121">
        <f>C14*0.125</f>
        <v>4695.219999999999</v>
      </c>
      <c r="E14" s="81">
        <v>2820.1</v>
      </c>
      <c r="F14" s="81">
        <v>775.69</v>
      </c>
      <c r="G14" s="81">
        <v>3807.15</v>
      </c>
      <c r="H14" s="81">
        <v>1047.18</v>
      </c>
      <c r="I14" s="81">
        <v>9165.32</v>
      </c>
      <c r="J14" s="81">
        <v>2520.95</v>
      </c>
      <c r="K14" s="81">
        <v>6345.29</v>
      </c>
      <c r="L14" s="81">
        <v>1745.25</v>
      </c>
      <c r="M14" s="78">
        <v>2256.04</v>
      </c>
      <c r="N14" s="82">
        <v>620.54</v>
      </c>
      <c r="O14" s="89">
        <v>0</v>
      </c>
      <c r="P14" s="89">
        <v>0</v>
      </c>
      <c r="Q14" s="89">
        <v>0</v>
      </c>
      <c r="R14" s="89">
        <v>0</v>
      </c>
      <c r="S14" s="81">
        <f aca="true" t="shared" si="2" ref="S14:S25">E14+G14+I14+K14+M14+O14+Q14</f>
        <v>24393.9</v>
      </c>
      <c r="T14" s="122">
        <f aca="true" t="shared" si="3" ref="T14:T25">P14+N14+L14+J14+H14+F14+R14</f>
        <v>6709.610000000001</v>
      </c>
      <c r="U14" s="81">
        <v>1997.57</v>
      </c>
      <c r="V14" s="81">
        <v>2696.77</v>
      </c>
      <c r="W14" s="81">
        <v>6106.16</v>
      </c>
      <c r="X14" s="81">
        <v>4494.68</v>
      </c>
      <c r="Y14" s="81">
        <v>1598.12</v>
      </c>
      <c r="Z14" s="81">
        <v>0</v>
      </c>
      <c r="AA14" s="89">
        <v>0</v>
      </c>
      <c r="AB14" s="152">
        <f aca="true" t="shared" si="4" ref="AB14:AB22">SUM(U14:AA14)</f>
        <v>16893.3</v>
      </c>
      <c r="AC14" s="136">
        <f aca="true" t="shared" si="5" ref="AC14:AC22">D14+T14+AB14</f>
        <v>28298.129999999997</v>
      </c>
      <c r="AD14" s="125">
        <f aca="true" t="shared" si="6" ref="AD14:AD25">P14+Z14</f>
        <v>0</v>
      </c>
      <c r="AE14" s="125">
        <f aca="true" t="shared" si="7" ref="AE14:AE25">R14+AA14</f>
        <v>0</v>
      </c>
      <c r="AF14" s="125"/>
      <c r="AG14" s="24">
        <f>0.6*B14*0.9</f>
        <v>2344.8959999999997</v>
      </c>
      <c r="AH14" s="24">
        <f>B14*0.2*0.891</f>
        <v>773.81568</v>
      </c>
      <c r="AI14" s="24">
        <f>0.85*B14*0.867-0.02</f>
        <v>3200.1116799999995</v>
      </c>
      <c r="AJ14" s="24">
        <f aca="true" t="shared" si="8" ref="AJ14:AJ25">AI14*0.18</f>
        <v>576.0201023999999</v>
      </c>
      <c r="AK14" s="24">
        <f>0.83*B14*0.8685</f>
        <v>3130.2407519999997</v>
      </c>
      <c r="AL14" s="24">
        <f aca="true" t="shared" si="9" ref="AL14:AL25">AK14*0.18</f>
        <v>563.4433353599999</v>
      </c>
      <c r="AM14" s="24">
        <f>1.91*B14*0.8686</f>
        <v>7204.154502399999</v>
      </c>
      <c r="AN14" s="24">
        <f aca="true" t="shared" si="10" ref="AN14:AN25">AM14*0.18</f>
        <v>1296.7478104319998</v>
      </c>
      <c r="AO14" s="24"/>
      <c r="AP14" s="24">
        <f aca="true" t="shared" si="11" ref="AP14:AR25">AO14*0.18</f>
        <v>0</v>
      </c>
      <c r="AQ14" s="126"/>
      <c r="AR14" s="126">
        <f>AQ14*0.18</f>
        <v>0</v>
      </c>
      <c r="AS14" s="86">
        <v>20890</v>
      </c>
      <c r="AT14" s="86"/>
      <c r="AU14" s="86">
        <f>(AS14+AT14)*0.18+0.01</f>
        <v>3760.21</v>
      </c>
      <c r="AV14" s="127"/>
      <c r="AW14" s="185">
        <v>0</v>
      </c>
      <c r="AX14" s="24">
        <f aca="true" t="shared" si="12" ref="AX14:AX25">AW14*1.12*1.18</f>
        <v>0</v>
      </c>
      <c r="AY14" s="129"/>
      <c r="AZ14" s="169"/>
      <c r="BA14" s="130">
        <f aca="true" t="shared" si="13" ref="BA14:BA19">AZ14*0.18</f>
        <v>0</v>
      </c>
      <c r="BB14" s="130">
        <f>SUM(AG14:AU14)</f>
        <v>43739.63986259199</v>
      </c>
      <c r="BC14" s="131"/>
      <c r="BD14" s="153">
        <f aca="true" t="shared" si="14" ref="BD14:BD19">BB14-(AF14-BC14)</f>
        <v>43739.63986259199</v>
      </c>
      <c r="BE14" s="132">
        <f aca="true" t="shared" si="15" ref="BE14:BE25">(AC14-BB14)+(AF14-BC14)</f>
        <v>-15441.509862591993</v>
      </c>
      <c r="BF14" s="132">
        <f aca="true" t="shared" si="16" ref="BF14:BF20">AB14-S14</f>
        <v>-7500.600000000002</v>
      </c>
    </row>
    <row r="15" spans="1:58" ht="12.75">
      <c r="A15" s="13" t="s">
        <v>44</v>
      </c>
      <c r="B15" s="87">
        <v>4342.4</v>
      </c>
      <c r="C15" s="120">
        <f t="shared" si="1"/>
        <v>37561.759999999995</v>
      </c>
      <c r="D15" s="121">
        <f>C15*0.125</f>
        <v>4695.219999999999</v>
      </c>
      <c r="E15" s="81">
        <v>2796.63</v>
      </c>
      <c r="F15" s="81">
        <v>791.33</v>
      </c>
      <c r="G15" s="81">
        <v>3775.5</v>
      </c>
      <c r="H15" s="81">
        <v>1068.29</v>
      </c>
      <c r="I15" s="81">
        <v>9081.19</v>
      </c>
      <c r="J15" s="81">
        <v>2571.78</v>
      </c>
      <c r="K15" s="81">
        <v>6292.51</v>
      </c>
      <c r="L15" s="81">
        <v>1780.44</v>
      </c>
      <c r="M15" s="78">
        <v>2237.29</v>
      </c>
      <c r="N15" s="82">
        <v>633.05</v>
      </c>
      <c r="O15" s="89">
        <v>0</v>
      </c>
      <c r="P15" s="89">
        <v>0</v>
      </c>
      <c r="Q15" s="89">
        <v>0</v>
      </c>
      <c r="R15" s="89">
        <v>0</v>
      </c>
      <c r="S15" s="81">
        <f t="shared" si="2"/>
        <v>24183.120000000003</v>
      </c>
      <c r="T15" s="122">
        <f t="shared" si="3"/>
        <v>6844.89</v>
      </c>
      <c r="U15" s="81">
        <v>2217.58</v>
      </c>
      <c r="V15" s="81">
        <v>2993.68</v>
      </c>
      <c r="W15" s="81">
        <v>7226.09</v>
      </c>
      <c r="X15" s="81">
        <v>4989.64</v>
      </c>
      <c r="Y15" s="81">
        <v>1773.96</v>
      </c>
      <c r="Z15" s="81">
        <v>0</v>
      </c>
      <c r="AA15" s="89">
        <v>0</v>
      </c>
      <c r="AB15" s="135">
        <f t="shared" si="4"/>
        <v>19200.95</v>
      </c>
      <c r="AC15" s="136">
        <f t="shared" si="5"/>
        <v>30741.06</v>
      </c>
      <c r="AD15" s="125">
        <f t="shared" si="6"/>
        <v>0</v>
      </c>
      <c r="AE15" s="125">
        <f t="shared" si="7"/>
        <v>0</v>
      </c>
      <c r="AF15" s="125"/>
      <c r="AG15" s="24">
        <f>0.6*B15*0.9</f>
        <v>2344.8959999999997</v>
      </c>
      <c r="AH15" s="24">
        <f>B15*0.2*0.9153</f>
        <v>794.919744</v>
      </c>
      <c r="AI15" s="24">
        <f>0.85*B15*0.867</f>
        <v>3200.1316799999995</v>
      </c>
      <c r="AJ15" s="24">
        <f t="shared" si="8"/>
        <v>576.0237023999999</v>
      </c>
      <c r="AK15" s="24">
        <f>0.83*B15*0.8684</f>
        <v>3129.8803327999995</v>
      </c>
      <c r="AL15" s="24">
        <f t="shared" si="9"/>
        <v>563.3784599039999</v>
      </c>
      <c r="AM15" s="24">
        <f>(1.91)*B15*0.8684</f>
        <v>7202.4957055999985</v>
      </c>
      <c r="AN15" s="24">
        <f t="shared" si="10"/>
        <v>1296.4492270079998</v>
      </c>
      <c r="AO15" s="24"/>
      <c r="AP15" s="24">
        <f t="shared" si="11"/>
        <v>0</v>
      </c>
      <c r="AQ15" s="126"/>
      <c r="AR15" s="126">
        <f>AQ15*0.18</f>
        <v>0</v>
      </c>
      <c r="AS15" s="86">
        <v>5036</v>
      </c>
      <c r="AT15" s="86"/>
      <c r="AU15" s="86">
        <f aca="true" t="shared" si="17" ref="AU15:AU25">(AS15+AT15)*0.18</f>
        <v>906.48</v>
      </c>
      <c r="AV15" s="127"/>
      <c r="AW15" s="185">
        <v>7</v>
      </c>
      <c r="AX15" s="24">
        <f t="shared" si="12"/>
        <v>9.2512</v>
      </c>
      <c r="AY15" s="129"/>
      <c r="AZ15" s="169"/>
      <c r="BA15" s="130">
        <f t="shared" si="13"/>
        <v>0</v>
      </c>
      <c r="BB15" s="130">
        <f>SUM(AG15:AU15)+AY15</f>
        <v>25050.654851712</v>
      </c>
      <c r="BC15" s="154"/>
      <c r="BD15" s="153">
        <f t="shared" si="14"/>
        <v>25050.654851712</v>
      </c>
      <c r="BE15" s="132">
        <f t="shared" si="15"/>
        <v>5690.405148288002</v>
      </c>
      <c r="BF15" s="132">
        <f t="shared" si="16"/>
        <v>-4982.170000000002</v>
      </c>
    </row>
    <row r="16" spans="1:58" ht="13.5" thickBot="1">
      <c r="A16" s="155" t="s">
        <v>45</v>
      </c>
      <c r="B16" s="156">
        <v>4342.44</v>
      </c>
      <c r="C16" s="120">
        <f t="shared" si="1"/>
        <v>37562.106</v>
      </c>
      <c r="D16" s="121">
        <f>C16*0.125</f>
        <v>4695.26325</v>
      </c>
      <c r="E16" s="81">
        <v>2638.54</v>
      </c>
      <c r="F16" s="81">
        <v>875.34</v>
      </c>
      <c r="G16" s="81">
        <v>3562.03</v>
      </c>
      <c r="H16" s="81">
        <v>1181.68</v>
      </c>
      <c r="I16" s="81">
        <v>8575.23</v>
      </c>
      <c r="J16" s="81">
        <v>2844.77</v>
      </c>
      <c r="K16" s="81">
        <v>5936.77</v>
      </c>
      <c r="L16" s="81">
        <v>1969.44</v>
      </c>
      <c r="M16" s="78">
        <v>2110.81</v>
      </c>
      <c r="N16" s="82">
        <v>700.25</v>
      </c>
      <c r="O16" s="89">
        <v>0</v>
      </c>
      <c r="P16" s="89">
        <v>0</v>
      </c>
      <c r="Q16" s="89">
        <v>0</v>
      </c>
      <c r="R16" s="89">
        <v>0</v>
      </c>
      <c r="S16" s="81">
        <f t="shared" si="2"/>
        <v>22823.38</v>
      </c>
      <c r="T16" s="122">
        <f t="shared" si="3"/>
        <v>7571.4800000000005</v>
      </c>
      <c r="U16" s="83">
        <v>3018.06</v>
      </c>
      <c r="V16" s="83">
        <v>4074.5</v>
      </c>
      <c r="W16" s="83">
        <v>9790.7</v>
      </c>
      <c r="X16" s="83">
        <v>6790.81</v>
      </c>
      <c r="Y16" s="83">
        <v>2414.43</v>
      </c>
      <c r="Z16" s="83">
        <v>0</v>
      </c>
      <c r="AA16" s="157">
        <v>0</v>
      </c>
      <c r="AB16" s="152">
        <f t="shared" si="4"/>
        <v>26088.500000000004</v>
      </c>
      <c r="AC16" s="136">
        <f t="shared" si="5"/>
        <v>38355.24325</v>
      </c>
      <c r="AD16" s="125">
        <f t="shared" si="6"/>
        <v>0</v>
      </c>
      <c r="AE16" s="125">
        <f t="shared" si="7"/>
        <v>0</v>
      </c>
      <c r="AF16" s="125"/>
      <c r="AG16" s="24">
        <f>0.6*B16*0.9</f>
        <v>2344.9175999999998</v>
      </c>
      <c r="AH16" s="158">
        <f>B16*0.2*0.9082</f>
        <v>788.7608015999999</v>
      </c>
      <c r="AI16" s="24">
        <f>0.85*B16*0.8675</f>
        <v>3202.006695</v>
      </c>
      <c r="AJ16" s="24">
        <f t="shared" si="8"/>
        <v>576.3612051</v>
      </c>
      <c r="AK16" s="158">
        <f>0.83*B16*0.838</f>
        <v>3020.3407175999996</v>
      </c>
      <c r="AL16" s="24">
        <f t="shared" si="9"/>
        <v>543.661329168</v>
      </c>
      <c r="AM16" s="24">
        <f>1.91*B16*0.8381</f>
        <v>6951.252021239999</v>
      </c>
      <c r="AN16" s="24">
        <f t="shared" si="10"/>
        <v>1251.2253638231998</v>
      </c>
      <c r="AO16" s="24"/>
      <c r="AP16" s="24">
        <f t="shared" si="11"/>
        <v>0</v>
      </c>
      <c r="AQ16" s="126">
        <f>6006.31+1299.09+0.01</f>
        <v>7305.410000000001</v>
      </c>
      <c r="AR16" s="126">
        <f>AQ16*0.18</f>
        <v>1314.9738</v>
      </c>
      <c r="AS16" s="86">
        <v>19596</v>
      </c>
      <c r="AT16" s="86"/>
      <c r="AU16" s="86">
        <f t="shared" si="17"/>
        <v>3527.2799999999997</v>
      </c>
      <c r="AV16" s="127"/>
      <c r="AW16" s="185">
        <v>14</v>
      </c>
      <c r="AX16" s="24">
        <f t="shared" si="12"/>
        <v>18.5024</v>
      </c>
      <c r="AY16" s="129"/>
      <c r="AZ16" s="169"/>
      <c r="BA16" s="130">
        <f t="shared" si="13"/>
        <v>0</v>
      </c>
      <c r="BB16" s="130">
        <f>SUM(AG16:AU16)</f>
        <v>50422.1895335312</v>
      </c>
      <c r="BC16" s="154"/>
      <c r="BD16" s="153">
        <f t="shared" si="14"/>
        <v>50422.1895335312</v>
      </c>
      <c r="BE16" s="160">
        <f t="shared" si="15"/>
        <v>-12066.9462835312</v>
      </c>
      <c r="BF16" s="160">
        <f t="shared" si="16"/>
        <v>3265.1200000000026</v>
      </c>
    </row>
    <row r="17" spans="1:58" ht="13.5" thickBot="1">
      <c r="A17" s="161" t="s">
        <v>46</v>
      </c>
      <c r="B17" s="162">
        <v>4342.44</v>
      </c>
      <c r="C17" s="120">
        <f t="shared" si="1"/>
        <v>37562.106</v>
      </c>
      <c r="D17" s="121">
        <f>C17*0.125</f>
        <v>4695.26325</v>
      </c>
      <c r="E17" s="83">
        <v>2800.36</v>
      </c>
      <c r="F17" s="83">
        <v>793.47</v>
      </c>
      <c r="G17" s="83">
        <v>3780.51</v>
      </c>
      <c r="H17" s="83">
        <v>1071.18</v>
      </c>
      <c r="I17" s="83">
        <v>9101.16</v>
      </c>
      <c r="J17" s="83">
        <v>2578.72</v>
      </c>
      <c r="K17" s="83">
        <v>6300.87</v>
      </c>
      <c r="L17" s="83">
        <v>1785.25</v>
      </c>
      <c r="M17" s="84">
        <v>2240.28</v>
      </c>
      <c r="N17" s="85">
        <v>634.76</v>
      </c>
      <c r="O17" s="157">
        <v>0</v>
      </c>
      <c r="P17" s="157">
        <v>0</v>
      </c>
      <c r="Q17" s="157">
        <v>0</v>
      </c>
      <c r="R17" s="157">
        <v>0</v>
      </c>
      <c r="S17" s="81">
        <f t="shared" si="2"/>
        <v>24223.18</v>
      </c>
      <c r="T17" s="122">
        <f t="shared" si="3"/>
        <v>6863.38</v>
      </c>
      <c r="U17" s="81">
        <v>2804.65</v>
      </c>
      <c r="V17" s="81">
        <v>3786.26</v>
      </c>
      <c r="W17" s="81">
        <v>9111.85</v>
      </c>
      <c r="X17" s="81">
        <v>6310.54</v>
      </c>
      <c r="Y17" s="81">
        <v>2243.7</v>
      </c>
      <c r="Z17" s="81">
        <v>0</v>
      </c>
      <c r="AA17" s="81">
        <v>0</v>
      </c>
      <c r="AB17" s="152">
        <f t="shared" si="4"/>
        <v>24257</v>
      </c>
      <c r="AC17" s="136">
        <f t="shared" si="5"/>
        <v>35815.64325</v>
      </c>
      <c r="AD17" s="125">
        <f t="shared" si="6"/>
        <v>0</v>
      </c>
      <c r="AE17" s="125">
        <f t="shared" si="7"/>
        <v>0</v>
      </c>
      <c r="AF17" s="125"/>
      <c r="AG17" s="24">
        <f>0.6*B17*0.9</f>
        <v>2344.9175999999998</v>
      </c>
      <c r="AH17" s="158">
        <f>B17*0.2*0.9234</f>
        <v>801.9618191999999</v>
      </c>
      <c r="AI17" s="24">
        <f>0.85*B17*0.8934</f>
        <v>3297.6055115999998</v>
      </c>
      <c r="AJ17" s="24">
        <f t="shared" si="8"/>
        <v>593.568992088</v>
      </c>
      <c r="AK17" s="24">
        <f>0.83*B17*0.8498</f>
        <v>3062.8705749599994</v>
      </c>
      <c r="AL17" s="24">
        <f t="shared" si="9"/>
        <v>551.3167034927999</v>
      </c>
      <c r="AM17" s="24">
        <f>(1.91)*B17*0.8498</f>
        <v>7048.292527919999</v>
      </c>
      <c r="AN17" s="24">
        <f t="shared" si="10"/>
        <v>1268.6926550255998</v>
      </c>
      <c r="AO17" s="24"/>
      <c r="AP17" s="24">
        <f t="shared" si="11"/>
        <v>0</v>
      </c>
      <c r="AQ17" s="126">
        <v>18018.94</v>
      </c>
      <c r="AR17" s="126">
        <f t="shared" si="11"/>
        <v>3243.4091999999996</v>
      </c>
      <c r="AS17" s="86">
        <v>1974.87</v>
      </c>
      <c r="AT17" s="86"/>
      <c r="AU17" s="86">
        <f t="shared" si="17"/>
        <v>355.47659999999996</v>
      </c>
      <c r="AV17" s="127"/>
      <c r="AW17" s="128">
        <v>106</v>
      </c>
      <c r="AX17" s="24">
        <f t="shared" si="12"/>
        <v>140.08960000000002</v>
      </c>
      <c r="AY17" s="163">
        <v>27.753600000000002</v>
      </c>
      <c r="AZ17" s="129"/>
      <c r="BA17" s="130">
        <f t="shared" si="13"/>
        <v>0</v>
      </c>
      <c r="BB17" s="130">
        <f aca="true" t="shared" si="18" ref="BB17:BB22">SUM(AG17:BA17)-AV17-AW17</f>
        <v>42729.765384286395</v>
      </c>
      <c r="BC17" s="154"/>
      <c r="BD17" s="153">
        <f t="shared" si="14"/>
        <v>42729.765384286395</v>
      </c>
      <c r="BE17" s="160">
        <f t="shared" si="15"/>
        <v>-6914.122134286394</v>
      </c>
      <c r="BF17" s="160">
        <f t="shared" si="16"/>
        <v>33.81999999999971</v>
      </c>
    </row>
    <row r="18" spans="1:58" ht="13.5" thickBot="1">
      <c r="A18" s="13" t="s">
        <v>47</v>
      </c>
      <c r="B18" s="156">
        <v>4342.4</v>
      </c>
      <c r="C18" s="120">
        <f t="shared" si="1"/>
        <v>37561.759999999995</v>
      </c>
      <c r="D18" s="164">
        <f aca="true" t="shared" si="19" ref="D18:D25">C18-E18-F18-G18-H18-I18-J18-K18-L18-M18-N18</f>
        <v>3694.46</v>
      </c>
      <c r="E18" s="83">
        <v>3025.61</v>
      </c>
      <c r="F18" s="83">
        <v>883.7</v>
      </c>
      <c r="G18" s="83">
        <v>4097.05</v>
      </c>
      <c r="H18" s="83">
        <v>1197.8</v>
      </c>
      <c r="I18" s="83">
        <v>9845.71</v>
      </c>
      <c r="J18" s="83">
        <v>2876.81</v>
      </c>
      <c r="K18" s="83">
        <v>6820.09</v>
      </c>
      <c r="L18" s="83">
        <v>1993.12</v>
      </c>
      <c r="M18" s="84">
        <v>2420.5</v>
      </c>
      <c r="N18" s="85">
        <v>706.91</v>
      </c>
      <c r="O18" s="157">
        <v>0</v>
      </c>
      <c r="P18" s="157">
        <v>0</v>
      </c>
      <c r="Q18" s="157">
        <v>0</v>
      </c>
      <c r="R18" s="157">
        <v>0</v>
      </c>
      <c r="S18" s="81">
        <f t="shared" si="2"/>
        <v>26208.96</v>
      </c>
      <c r="T18" s="122">
        <f t="shared" si="3"/>
        <v>7658.34</v>
      </c>
      <c r="U18" s="83">
        <v>2731.11</v>
      </c>
      <c r="V18" s="83">
        <v>3686.98</v>
      </c>
      <c r="W18" s="83">
        <v>8875.98</v>
      </c>
      <c r="X18" s="83">
        <v>6144.99</v>
      </c>
      <c r="Y18" s="83">
        <v>2184.82</v>
      </c>
      <c r="Z18" s="83">
        <v>0</v>
      </c>
      <c r="AA18" s="157">
        <v>0</v>
      </c>
      <c r="AB18" s="152">
        <f t="shared" si="4"/>
        <v>23623.879999999997</v>
      </c>
      <c r="AC18" s="136">
        <f t="shared" si="5"/>
        <v>34976.67999999999</v>
      </c>
      <c r="AD18" s="125">
        <f t="shared" si="6"/>
        <v>0</v>
      </c>
      <c r="AE18" s="125">
        <f t="shared" si="7"/>
        <v>0</v>
      </c>
      <c r="AF18" s="125"/>
      <c r="AG18" s="24">
        <f aca="true" t="shared" si="20" ref="AG18:AG25">0.6*B18</f>
        <v>2605.4399999999996</v>
      </c>
      <c r="AH18" s="24">
        <f>B18*0.2*1.01</f>
        <v>877.1648</v>
      </c>
      <c r="AI18" s="24">
        <f>0.85*B18</f>
        <v>3691.0399999999995</v>
      </c>
      <c r="AJ18" s="24">
        <f t="shared" si="8"/>
        <v>664.3871999999999</v>
      </c>
      <c r="AK18" s="24">
        <f>0.83*B18</f>
        <v>3604.1919999999996</v>
      </c>
      <c r="AL18" s="24">
        <f t="shared" si="9"/>
        <v>648.7545599999999</v>
      </c>
      <c r="AM18" s="24">
        <f>(1.91)*B18</f>
        <v>8293.983999999999</v>
      </c>
      <c r="AN18" s="24">
        <f t="shared" si="10"/>
        <v>1492.9171199999996</v>
      </c>
      <c r="AO18" s="24"/>
      <c r="AP18" s="24">
        <f t="shared" si="11"/>
        <v>0</v>
      </c>
      <c r="AQ18" s="126">
        <v>4237.3</v>
      </c>
      <c r="AR18" s="126">
        <f t="shared" si="11"/>
        <v>762.714</v>
      </c>
      <c r="AS18" s="86">
        <f>21700.67</f>
        <v>21700.67</v>
      </c>
      <c r="AT18" s="86"/>
      <c r="AU18" s="86">
        <f t="shared" si="17"/>
        <v>3906.1205999999997</v>
      </c>
      <c r="AV18" s="127"/>
      <c r="AW18" s="186">
        <v>15</v>
      </c>
      <c r="AX18" s="24">
        <f t="shared" si="12"/>
        <v>19.823999999999998</v>
      </c>
      <c r="AY18" s="129"/>
      <c r="AZ18" s="169"/>
      <c r="BA18" s="130">
        <f t="shared" si="13"/>
        <v>0</v>
      </c>
      <c r="BB18" s="130">
        <f t="shared" si="18"/>
        <v>52504.508279999995</v>
      </c>
      <c r="BC18" s="154"/>
      <c r="BD18" s="153">
        <f t="shared" si="14"/>
        <v>52504.508279999995</v>
      </c>
      <c r="BE18" s="160">
        <f t="shared" si="15"/>
        <v>-17527.82828</v>
      </c>
      <c r="BF18" s="160">
        <f t="shared" si="16"/>
        <v>-2585.0800000000017</v>
      </c>
    </row>
    <row r="19" spans="1:58" ht="13.5" thickBot="1">
      <c r="A19" s="155" t="s">
        <v>48</v>
      </c>
      <c r="B19" s="156">
        <v>4342.4</v>
      </c>
      <c r="C19" s="120">
        <f t="shared" si="1"/>
        <v>37561.759999999995</v>
      </c>
      <c r="D19" s="164">
        <f t="shared" si="19"/>
        <v>4689.699999999998</v>
      </c>
      <c r="E19" s="83">
        <v>2910.54</v>
      </c>
      <c r="F19" s="83">
        <v>883.7</v>
      </c>
      <c r="G19" s="83">
        <v>3941.72</v>
      </c>
      <c r="H19" s="83">
        <v>1197.8</v>
      </c>
      <c r="I19" s="83">
        <v>9471.77</v>
      </c>
      <c r="J19" s="83">
        <v>2876.81</v>
      </c>
      <c r="K19" s="83">
        <v>6561.2</v>
      </c>
      <c r="L19" s="83">
        <v>1993.12</v>
      </c>
      <c r="M19" s="84">
        <v>2328.49</v>
      </c>
      <c r="N19" s="85">
        <v>706.91</v>
      </c>
      <c r="O19" s="157">
        <v>0</v>
      </c>
      <c r="P19" s="157">
        <v>0</v>
      </c>
      <c r="Q19" s="157">
        <v>0</v>
      </c>
      <c r="R19" s="157">
        <v>0</v>
      </c>
      <c r="S19" s="81">
        <f t="shared" si="2"/>
        <v>25213.72</v>
      </c>
      <c r="T19" s="122">
        <f t="shared" si="3"/>
        <v>7658.34</v>
      </c>
      <c r="U19" s="83">
        <v>2614.05</v>
      </c>
      <c r="V19" s="83">
        <v>3538.07</v>
      </c>
      <c r="W19" s="83">
        <v>8499.87</v>
      </c>
      <c r="X19" s="83">
        <v>5890.37</v>
      </c>
      <c r="Y19" s="83">
        <v>2091.32</v>
      </c>
      <c r="Z19" s="83">
        <v>0</v>
      </c>
      <c r="AA19" s="157">
        <v>0</v>
      </c>
      <c r="AB19" s="152">
        <f t="shared" si="4"/>
        <v>22633.68</v>
      </c>
      <c r="AC19" s="136">
        <f t="shared" si="5"/>
        <v>34981.72</v>
      </c>
      <c r="AD19" s="125">
        <f t="shared" si="6"/>
        <v>0</v>
      </c>
      <c r="AE19" s="125">
        <f t="shared" si="7"/>
        <v>0</v>
      </c>
      <c r="AF19" s="125"/>
      <c r="AG19" s="24">
        <f t="shared" si="20"/>
        <v>2605.4399999999996</v>
      </c>
      <c r="AH19" s="24">
        <f>B19*0.2*1.01045</f>
        <v>877.5556160000001</v>
      </c>
      <c r="AI19" s="24">
        <f>0.85*B19</f>
        <v>3691.0399999999995</v>
      </c>
      <c r="AJ19" s="24">
        <f t="shared" si="8"/>
        <v>664.3871999999999</v>
      </c>
      <c r="AK19" s="24">
        <f>0.83*B19</f>
        <v>3604.1919999999996</v>
      </c>
      <c r="AL19" s="24">
        <f t="shared" si="9"/>
        <v>648.7545599999999</v>
      </c>
      <c r="AM19" s="24">
        <f>(1.91)*B19</f>
        <v>8293.983999999999</v>
      </c>
      <c r="AN19" s="24">
        <f t="shared" si="10"/>
        <v>1492.9171199999996</v>
      </c>
      <c r="AO19" s="24"/>
      <c r="AP19" s="24">
        <f t="shared" si="11"/>
        <v>0</v>
      </c>
      <c r="AQ19" s="126">
        <f>1313.35+6594</f>
        <v>7907.35</v>
      </c>
      <c r="AR19" s="126">
        <f t="shared" si="11"/>
        <v>1423.323</v>
      </c>
      <c r="AS19" s="86">
        <v>5931.81</v>
      </c>
      <c r="AT19" s="86"/>
      <c r="AU19" s="86">
        <f t="shared" si="17"/>
        <v>1067.7258</v>
      </c>
      <c r="AV19" s="127"/>
      <c r="AW19" s="186">
        <v>4357</v>
      </c>
      <c r="AX19" s="24">
        <f t="shared" si="12"/>
        <v>5758.2112</v>
      </c>
      <c r="AY19" s="129"/>
      <c r="AZ19" s="169"/>
      <c r="BA19" s="130">
        <f t="shared" si="13"/>
        <v>0</v>
      </c>
      <c r="BB19" s="130">
        <f t="shared" si="18"/>
        <v>43966.690495999996</v>
      </c>
      <c r="BC19" s="154"/>
      <c r="BD19" s="153">
        <f t="shared" si="14"/>
        <v>43966.690495999996</v>
      </c>
      <c r="BE19" s="160">
        <f t="shared" si="15"/>
        <v>-8984.970495999994</v>
      </c>
      <c r="BF19" s="160">
        <f t="shared" si="16"/>
        <v>-2580.040000000001</v>
      </c>
    </row>
    <row r="20" spans="1:58" ht="13.5" thickBot="1">
      <c r="A20" s="161" t="s">
        <v>49</v>
      </c>
      <c r="B20" s="87">
        <v>4338.84</v>
      </c>
      <c r="C20" s="120">
        <f t="shared" si="1"/>
        <v>37530.966</v>
      </c>
      <c r="D20" s="164">
        <f t="shared" si="19"/>
        <v>3482.766000000011</v>
      </c>
      <c r="E20" s="83">
        <v>3075.38</v>
      </c>
      <c r="F20" s="83">
        <v>854.84</v>
      </c>
      <c r="G20" s="83">
        <v>4164.24</v>
      </c>
      <c r="H20" s="83">
        <v>1158.82</v>
      </c>
      <c r="I20" s="83">
        <v>10007.49</v>
      </c>
      <c r="J20" s="83">
        <v>2783</v>
      </c>
      <c r="K20" s="83">
        <v>6932.09</v>
      </c>
      <c r="L20" s="83">
        <v>1928.18</v>
      </c>
      <c r="M20" s="84">
        <v>2460.31</v>
      </c>
      <c r="N20" s="85">
        <v>683.85</v>
      </c>
      <c r="O20" s="157">
        <v>0</v>
      </c>
      <c r="P20" s="157">
        <v>0</v>
      </c>
      <c r="Q20" s="157">
        <v>0</v>
      </c>
      <c r="R20" s="157">
        <v>0</v>
      </c>
      <c r="S20" s="81">
        <f t="shared" si="2"/>
        <v>26639.510000000002</v>
      </c>
      <c r="T20" s="122">
        <f t="shared" si="3"/>
        <v>7408.6900000000005</v>
      </c>
      <c r="U20" s="83">
        <v>3025.99</v>
      </c>
      <c r="V20" s="83">
        <v>4095.74</v>
      </c>
      <c r="W20" s="83">
        <v>9842.43</v>
      </c>
      <c r="X20" s="83">
        <v>6819.02</v>
      </c>
      <c r="Y20" s="83">
        <v>2420.83</v>
      </c>
      <c r="Z20" s="83">
        <v>0</v>
      </c>
      <c r="AA20" s="157">
        <v>0</v>
      </c>
      <c r="AB20" s="152">
        <f t="shared" si="4"/>
        <v>26204.010000000002</v>
      </c>
      <c r="AC20" s="136">
        <f t="shared" si="5"/>
        <v>37095.466000000015</v>
      </c>
      <c r="AD20" s="125">
        <f t="shared" si="6"/>
        <v>0</v>
      </c>
      <c r="AE20" s="125">
        <f t="shared" si="7"/>
        <v>0</v>
      </c>
      <c r="AF20" s="125"/>
      <c r="AG20" s="24">
        <f t="shared" si="20"/>
        <v>2603.304</v>
      </c>
      <c r="AH20" s="24">
        <f>B20*0.2*0.99426</f>
        <v>862.7870116800001</v>
      </c>
      <c r="AI20" s="24">
        <f>0.85*B20*0.9857</f>
        <v>3635.2753998000003</v>
      </c>
      <c r="AJ20" s="24">
        <f t="shared" si="8"/>
        <v>654.349571964</v>
      </c>
      <c r="AK20" s="24">
        <f>0.83*B20*0.9905</f>
        <v>3567.0254466</v>
      </c>
      <c r="AL20" s="24">
        <f t="shared" si="9"/>
        <v>642.064580388</v>
      </c>
      <c r="AM20" s="24">
        <f>(1.91)*B20*0.9905</f>
        <v>8208.4561482</v>
      </c>
      <c r="AN20" s="24">
        <f t="shared" si="10"/>
        <v>1477.522106676</v>
      </c>
      <c r="AO20" s="24"/>
      <c r="AP20" s="24">
        <f t="shared" si="11"/>
        <v>0</v>
      </c>
      <c r="AQ20" s="126"/>
      <c r="AR20" s="126">
        <f t="shared" si="11"/>
        <v>0</v>
      </c>
      <c r="AS20" s="86">
        <v>1202</v>
      </c>
      <c r="AT20" s="86"/>
      <c r="AU20" s="86">
        <f t="shared" si="17"/>
        <v>216.35999999999999</v>
      </c>
      <c r="AV20" s="127"/>
      <c r="AW20" s="186">
        <v>177</v>
      </c>
      <c r="AX20" s="24">
        <f t="shared" si="12"/>
        <v>233.9232</v>
      </c>
      <c r="AY20" s="129"/>
      <c r="AZ20" s="169"/>
      <c r="BA20" s="130">
        <f aca="true" t="shared" si="21" ref="BA20:BA25">AZ20*0.18</f>
        <v>0</v>
      </c>
      <c r="BB20" s="130">
        <f t="shared" si="18"/>
        <v>23303.067465308002</v>
      </c>
      <c r="BC20" s="154"/>
      <c r="BD20" s="17">
        <f aca="true" t="shared" si="22" ref="BD20:BD25">BB20-(AF20-BC20)</f>
        <v>23303.067465308002</v>
      </c>
      <c r="BE20" s="160">
        <f t="shared" si="15"/>
        <v>13792.398534692013</v>
      </c>
      <c r="BF20" s="160">
        <f t="shared" si="16"/>
        <v>-435.5</v>
      </c>
    </row>
    <row r="21" spans="1:58" ht="13.5" thickBot="1">
      <c r="A21" s="13" t="s">
        <v>50</v>
      </c>
      <c r="B21" s="87">
        <v>4338.84</v>
      </c>
      <c r="C21" s="120">
        <f t="shared" si="1"/>
        <v>37530.966</v>
      </c>
      <c r="D21" s="164">
        <f t="shared" si="19"/>
        <v>3470.415999999995</v>
      </c>
      <c r="E21" s="83">
        <v>3048.9</v>
      </c>
      <c r="F21" s="83">
        <v>882.76</v>
      </c>
      <c r="G21" s="83">
        <v>4128.45</v>
      </c>
      <c r="H21" s="83">
        <v>1196.52</v>
      </c>
      <c r="I21" s="83">
        <v>9921.41</v>
      </c>
      <c r="J21" s="83">
        <v>2873.73</v>
      </c>
      <c r="K21" s="83">
        <v>6872.47</v>
      </c>
      <c r="L21" s="83">
        <v>1991</v>
      </c>
      <c r="M21" s="84">
        <v>2439.16</v>
      </c>
      <c r="N21" s="85">
        <v>706.15</v>
      </c>
      <c r="O21" s="157">
        <v>0</v>
      </c>
      <c r="P21" s="157">
        <v>0</v>
      </c>
      <c r="Q21" s="83">
        <v>0</v>
      </c>
      <c r="R21" s="83">
        <v>0</v>
      </c>
      <c r="S21" s="81">
        <f t="shared" si="2"/>
        <v>26410.390000000003</v>
      </c>
      <c r="T21" s="122">
        <f t="shared" si="3"/>
        <v>7650.16</v>
      </c>
      <c r="U21" s="83">
        <v>2902.99</v>
      </c>
      <c r="V21" s="83">
        <v>3931.91</v>
      </c>
      <c r="W21" s="83">
        <v>9441.2</v>
      </c>
      <c r="X21" s="83">
        <v>6544.57</v>
      </c>
      <c r="Y21" s="83">
        <v>2322.36</v>
      </c>
      <c r="Z21" s="83">
        <v>0</v>
      </c>
      <c r="AA21" s="157">
        <v>0</v>
      </c>
      <c r="AB21" s="152">
        <f t="shared" si="4"/>
        <v>25143.03</v>
      </c>
      <c r="AC21" s="136">
        <f t="shared" si="5"/>
        <v>36263.60599999999</v>
      </c>
      <c r="AD21" s="125">
        <f t="shared" si="6"/>
        <v>0</v>
      </c>
      <c r="AE21" s="125">
        <f t="shared" si="7"/>
        <v>0</v>
      </c>
      <c r="AF21" s="125"/>
      <c r="AG21" s="24">
        <f t="shared" si="20"/>
        <v>2603.304</v>
      </c>
      <c r="AH21" s="24">
        <f>B21*0.2*0.99875</f>
        <v>866.68329</v>
      </c>
      <c r="AI21" s="24">
        <f>0.85*B21*0.98526</f>
        <v>3633.65267364</v>
      </c>
      <c r="AJ21" s="24">
        <f t="shared" si="8"/>
        <v>654.0574812552</v>
      </c>
      <c r="AK21" s="24">
        <f>0.83*B21*0.99</f>
        <v>3565.224828</v>
      </c>
      <c r="AL21" s="24">
        <f t="shared" si="9"/>
        <v>641.74046904</v>
      </c>
      <c r="AM21" s="24">
        <f>(1.91)*B21*0.99</f>
        <v>8204.312556</v>
      </c>
      <c r="AN21" s="24">
        <f t="shared" si="10"/>
        <v>1476.7762600800002</v>
      </c>
      <c r="AO21" s="24"/>
      <c r="AP21" s="24">
        <f t="shared" si="11"/>
        <v>0</v>
      </c>
      <c r="AQ21" s="126">
        <f>6257.29+1353.27</f>
        <v>7610.5599999999995</v>
      </c>
      <c r="AR21" s="126">
        <f t="shared" si="11"/>
        <v>1369.9008</v>
      </c>
      <c r="AS21" s="86"/>
      <c r="AT21" s="86"/>
      <c r="AU21" s="86">
        <f t="shared" si="17"/>
        <v>0</v>
      </c>
      <c r="AV21" s="127"/>
      <c r="AW21" s="186">
        <v>48</v>
      </c>
      <c r="AX21" s="24">
        <f t="shared" si="12"/>
        <v>63.436800000000005</v>
      </c>
      <c r="AY21" s="129"/>
      <c r="AZ21" s="169"/>
      <c r="BA21" s="130">
        <f t="shared" si="21"/>
        <v>0</v>
      </c>
      <c r="BB21" s="130">
        <f t="shared" si="18"/>
        <v>30689.6491580152</v>
      </c>
      <c r="BC21" s="154"/>
      <c r="BD21" s="17">
        <f t="shared" si="22"/>
        <v>30689.6491580152</v>
      </c>
      <c r="BE21" s="160">
        <f t="shared" si="15"/>
        <v>5573.956841984793</v>
      </c>
      <c r="BF21" s="133">
        <f>AB21-S21</f>
        <v>-1267.3600000000042</v>
      </c>
    </row>
    <row r="22" spans="1:58" ht="13.5" thickBot="1">
      <c r="A22" s="155" t="s">
        <v>51</v>
      </c>
      <c r="B22" s="80">
        <v>4338.84</v>
      </c>
      <c r="C22" s="120">
        <f t="shared" si="1"/>
        <v>37530.966</v>
      </c>
      <c r="D22" s="164">
        <f t="shared" si="19"/>
        <v>3471.1459999999984</v>
      </c>
      <c r="E22" s="81">
        <v>3048.8</v>
      </c>
      <c r="F22" s="81">
        <v>882.76</v>
      </c>
      <c r="G22" s="81">
        <v>4128.35</v>
      </c>
      <c r="H22" s="81">
        <v>1196.52</v>
      </c>
      <c r="I22" s="81">
        <v>9921.14</v>
      </c>
      <c r="J22" s="81">
        <v>2873.73</v>
      </c>
      <c r="K22" s="81">
        <v>6872.3</v>
      </c>
      <c r="L22" s="81">
        <v>1990.99</v>
      </c>
      <c r="M22" s="78">
        <v>2439.08</v>
      </c>
      <c r="N22" s="82">
        <v>706.15</v>
      </c>
      <c r="O22" s="89">
        <v>0</v>
      </c>
      <c r="P22" s="89">
        <v>0</v>
      </c>
      <c r="Q22" s="89">
        <v>0</v>
      </c>
      <c r="R22" s="89">
        <v>0</v>
      </c>
      <c r="S22" s="81">
        <f t="shared" si="2"/>
        <v>26409.67</v>
      </c>
      <c r="T22" s="122">
        <f t="shared" si="3"/>
        <v>7650.15</v>
      </c>
      <c r="U22" s="81">
        <v>2834.06</v>
      </c>
      <c r="V22" s="81">
        <v>3793.65</v>
      </c>
      <c r="W22" s="81">
        <v>8941.81</v>
      </c>
      <c r="X22" s="81">
        <v>6232.25</v>
      </c>
      <c r="Y22" s="81">
        <v>2292.16</v>
      </c>
      <c r="Z22" s="81">
        <v>0</v>
      </c>
      <c r="AA22" s="89">
        <v>0</v>
      </c>
      <c r="AB22" s="152">
        <f t="shared" si="4"/>
        <v>24093.93</v>
      </c>
      <c r="AC22" s="136">
        <f t="shared" si="5"/>
        <v>35215.225999999995</v>
      </c>
      <c r="AD22" s="125">
        <f t="shared" si="6"/>
        <v>0</v>
      </c>
      <c r="AE22" s="125">
        <f t="shared" si="7"/>
        <v>0</v>
      </c>
      <c r="AF22" s="125"/>
      <c r="AG22" s="24">
        <f t="shared" si="20"/>
        <v>2603.304</v>
      </c>
      <c r="AH22" s="24">
        <f>B22*0.2*0.9997</f>
        <v>867.5076696000001</v>
      </c>
      <c r="AI22" s="24">
        <f>0.85*B22*0.98509</f>
        <v>3633.02571126</v>
      </c>
      <c r="AJ22" s="24">
        <f t="shared" si="8"/>
        <v>653.9446280268</v>
      </c>
      <c r="AK22" s="24">
        <f>0.83*B22*0.98981</f>
        <v>3564.540592932</v>
      </c>
      <c r="AL22" s="24">
        <f t="shared" si="9"/>
        <v>641.61730672776</v>
      </c>
      <c r="AM22" s="24">
        <f>(1.91)*B22*0.9898</f>
        <v>8202.65511912</v>
      </c>
      <c r="AN22" s="24">
        <f t="shared" si="10"/>
        <v>1476.4779214415998</v>
      </c>
      <c r="AO22" s="24"/>
      <c r="AP22" s="24">
        <f t="shared" si="11"/>
        <v>0</v>
      </c>
      <c r="AQ22" s="126"/>
      <c r="AR22" s="126">
        <f t="shared" si="11"/>
        <v>0</v>
      </c>
      <c r="AS22" s="86"/>
      <c r="AT22" s="86"/>
      <c r="AU22" s="86">
        <f t="shared" si="17"/>
        <v>0</v>
      </c>
      <c r="AV22" s="127"/>
      <c r="AW22" s="186">
        <v>110</v>
      </c>
      <c r="AX22" s="24">
        <f t="shared" si="12"/>
        <v>145.376</v>
      </c>
      <c r="AY22" s="129"/>
      <c r="AZ22" s="169"/>
      <c r="BA22" s="130">
        <f t="shared" si="21"/>
        <v>0</v>
      </c>
      <c r="BB22" s="130">
        <f t="shared" si="18"/>
        <v>21788.448949108162</v>
      </c>
      <c r="BC22" s="154"/>
      <c r="BD22" s="165">
        <f t="shared" si="22"/>
        <v>21788.448949108162</v>
      </c>
      <c r="BE22" s="160">
        <f t="shared" si="15"/>
        <v>13426.777050891833</v>
      </c>
      <c r="BF22" s="166">
        <f>AB22-S22</f>
        <v>-2315.739999999998</v>
      </c>
    </row>
    <row r="23" spans="1:58" ht="12.75">
      <c r="A23" s="167" t="s">
        <v>39</v>
      </c>
      <c r="B23" s="80">
        <v>4338.84</v>
      </c>
      <c r="C23" s="168">
        <f t="shared" si="1"/>
        <v>37530.966</v>
      </c>
      <c r="D23" s="164">
        <f t="shared" si="19"/>
        <v>3480.486000000003</v>
      </c>
      <c r="E23" s="88">
        <v>3044</v>
      </c>
      <c r="F23" s="81">
        <v>884.35</v>
      </c>
      <c r="G23" s="81">
        <v>4122.03</v>
      </c>
      <c r="H23" s="81">
        <v>1198.66</v>
      </c>
      <c r="I23" s="81">
        <v>9905.68</v>
      </c>
      <c r="J23" s="81">
        <v>2878.89</v>
      </c>
      <c r="K23" s="81">
        <v>6861.63</v>
      </c>
      <c r="L23" s="81">
        <v>1994.58</v>
      </c>
      <c r="M23" s="81">
        <v>2453.23</v>
      </c>
      <c r="N23" s="89">
        <v>707.43</v>
      </c>
      <c r="O23" s="89">
        <v>0</v>
      </c>
      <c r="P23" s="89">
        <v>0</v>
      </c>
      <c r="Q23" s="81">
        <v>0</v>
      </c>
      <c r="R23" s="81">
        <v>0</v>
      </c>
      <c r="S23" s="81">
        <f t="shared" si="2"/>
        <v>26386.57</v>
      </c>
      <c r="T23" s="122">
        <f t="shared" si="3"/>
        <v>7663.91</v>
      </c>
      <c r="U23" s="90">
        <f>2557.16+1073.8</f>
        <v>3630.96</v>
      </c>
      <c r="V23" s="81">
        <f>3461.12+1453.87</f>
        <v>4914.99</v>
      </c>
      <c r="W23" s="81">
        <f>8319.8+3533.67</f>
        <v>11853.47</v>
      </c>
      <c r="X23" s="81">
        <f>5762.51+2420.27</f>
        <v>8182.780000000001</v>
      </c>
      <c r="Y23" s="81">
        <f>2045.78+859.1</f>
        <v>2904.88</v>
      </c>
      <c r="Z23" s="81">
        <v>0</v>
      </c>
      <c r="AA23" s="89">
        <v>0</v>
      </c>
      <c r="AB23" s="89">
        <f>SUM(U23:AA23)</f>
        <v>31487.079999999998</v>
      </c>
      <c r="AC23" s="136">
        <f>AB23+T23+D23</f>
        <v>42631.476</v>
      </c>
      <c r="AD23" s="125">
        <f t="shared" si="6"/>
        <v>0</v>
      </c>
      <c r="AE23" s="125">
        <f t="shared" si="7"/>
        <v>0</v>
      </c>
      <c r="AF23" s="125"/>
      <c r="AG23" s="24">
        <f t="shared" si="20"/>
        <v>2603.304</v>
      </c>
      <c r="AH23" s="24">
        <f>B23*0.2</f>
        <v>867.768</v>
      </c>
      <c r="AI23" s="24">
        <f>0.847*B23</f>
        <v>3674.99748</v>
      </c>
      <c r="AJ23" s="24">
        <f t="shared" si="8"/>
        <v>661.4995464</v>
      </c>
      <c r="AK23" s="24">
        <f>0.83*B23</f>
        <v>3601.2372</v>
      </c>
      <c r="AL23" s="24">
        <f t="shared" si="9"/>
        <v>648.2226959999999</v>
      </c>
      <c r="AM23" s="24">
        <f>(2.25/1.18)*B23</f>
        <v>8273.21186440678</v>
      </c>
      <c r="AN23" s="24">
        <f t="shared" si="10"/>
        <v>1489.1781355932203</v>
      </c>
      <c r="AO23" s="24"/>
      <c r="AP23" s="24">
        <f t="shared" si="11"/>
        <v>0</v>
      </c>
      <c r="AQ23" s="126"/>
      <c r="AR23" s="126">
        <f t="shared" si="11"/>
        <v>0</v>
      </c>
      <c r="AS23" s="86">
        <v>8836.4</v>
      </c>
      <c r="AT23" s="86"/>
      <c r="AU23" s="86">
        <f t="shared" si="17"/>
        <v>1590.552</v>
      </c>
      <c r="AV23" s="127"/>
      <c r="AW23" s="185">
        <v>185</v>
      </c>
      <c r="AX23" s="24">
        <f t="shared" si="12"/>
        <v>244.496</v>
      </c>
      <c r="AY23" s="129"/>
      <c r="AZ23" s="187">
        <v>39836</v>
      </c>
      <c r="BA23" s="130">
        <f t="shared" si="21"/>
        <v>7170.48</v>
      </c>
      <c r="BB23" s="130">
        <f>SUM(AG23:AU23)+AX23+AY23+AZ23+BA23</f>
        <v>79497.3469224</v>
      </c>
      <c r="BC23" s="154"/>
      <c r="BD23" s="170">
        <f t="shared" si="22"/>
        <v>79497.3469224</v>
      </c>
      <c r="BE23" s="132">
        <f t="shared" si="15"/>
        <v>-36865.8709224</v>
      </c>
      <c r="BF23" s="132">
        <f>AB23-S23</f>
        <v>5100.509999999998</v>
      </c>
    </row>
    <row r="24" spans="1:58" ht="12.75">
      <c r="A24" s="13" t="s">
        <v>40</v>
      </c>
      <c r="B24" s="87">
        <v>4338.84</v>
      </c>
      <c r="C24" s="168">
        <f t="shared" si="1"/>
        <v>37530.966</v>
      </c>
      <c r="D24" s="164">
        <f t="shared" si="19"/>
        <v>3521.156</v>
      </c>
      <c r="E24" s="81">
        <v>3040.54</v>
      </c>
      <c r="F24" s="81">
        <v>885.14</v>
      </c>
      <c r="G24" s="81">
        <v>4117.5</v>
      </c>
      <c r="H24" s="81">
        <v>1199.72</v>
      </c>
      <c r="I24" s="81">
        <v>9894.6</v>
      </c>
      <c r="J24" s="81">
        <v>2881.44</v>
      </c>
      <c r="K24" s="81">
        <v>6853.99</v>
      </c>
      <c r="L24" s="81">
        <v>1996.35</v>
      </c>
      <c r="M24" s="78">
        <v>2432.48</v>
      </c>
      <c r="N24" s="82">
        <v>708.05</v>
      </c>
      <c r="O24" s="89">
        <v>0</v>
      </c>
      <c r="P24" s="89">
        <v>0</v>
      </c>
      <c r="Q24" s="89">
        <v>0</v>
      </c>
      <c r="R24" s="89">
        <v>0</v>
      </c>
      <c r="S24" s="81">
        <f t="shared" si="2"/>
        <v>26339.109999999997</v>
      </c>
      <c r="T24" s="122">
        <f t="shared" si="3"/>
        <v>7670.700000000001</v>
      </c>
      <c r="U24" s="81">
        <v>3049.72</v>
      </c>
      <c r="V24" s="81">
        <v>4130.16</v>
      </c>
      <c r="W24" s="81">
        <v>9924.77</v>
      </c>
      <c r="X24" s="81">
        <v>6875.13</v>
      </c>
      <c r="Y24" s="81">
        <v>2439.78</v>
      </c>
      <c r="Z24" s="81">
        <v>0</v>
      </c>
      <c r="AA24" s="89">
        <v>0</v>
      </c>
      <c r="AB24" s="89">
        <f>SUM(U24:AA24)</f>
        <v>26419.56</v>
      </c>
      <c r="AC24" s="136">
        <f>D24+T24+AB24</f>
        <v>37611.416</v>
      </c>
      <c r="AD24" s="125">
        <f t="shared" si="6"/>
        <v>0</v>
      </c>
      <c r="AE24" s="125">
        <f t="shared" si="7"/>
        <v>0</v>
      </c>
      <c r="AF24" s="125"/>
      <c r="AG24" s="24">
        <f t="shared" si="20"/>
        <v>2603.304</v>
      </c>
      <c r="AH24" s="24">
        <f>B24*0.2</f>
        <v>867.768</v>
      </c>
      <c r="AI24" s="24">
        <f>0.85*B24</f>
        <v>3688.014</v>
      </c>
      <c r="AJ24" s="24">
        <f t="shared" si="8"/>
        <v>663.84252</v>
      </c>
      <c r="AK24" s="24">
        <f>0.83*B24</f>
        <v>3601.2372</v>
      </c>
      <c r="AL24" s="24">
        <f t="shared" si="9"/>
        <v>648.2226959999999</v>
      </c>
      <c r="AM24" s="24">
        <f>(1.91)*B24</f>
        <v>8287.1844</v>
      </c>
      <c r="AN24" s="24">
        <f t="shared" si="10"/>
        <v>1491.693192</v>
      </c>
      <c r="AO24" s="24"/>
      <c r="AP24" s="24">
        <f t="shared" si="11"/>
        <v>0</v>
      </c>
      <c r="AQ24" s="126"/>
      <c r="AR24" s="126">
        <f t="shared" si="11"/>
        <v>0</v>
      </c>
      <c r="AS24" s="86">
        <v>3359</v>
      </c>
      <c r="AT24" s="86"/>
      <c r="AU24" s="86">
        <f t="shared" si="17"/>
        <v>604.62</v>
      </c>
      <c r="AV24" s="127"/>
      <c r="AW24" s="185">
        <v>205</v>
      </c>
      <c r="AX24" s="24">
        <f t="shared" si="12"/>
        <v>270.928</v>
      </c>
      <c r="AY24" s="129"/>
      <c r="AZ24" s="187">
        <v>39836</v>
      </c>
      <c r="BA24" s="130">
        <f t="shared" si="21"/>
        <v>7170.48</v>
      </c>
      <c r="BB24" s="130">
        <f>SUM(AG24:AU24)+AX24+AY24+AZ24+BA24</f>
        <v>73092.294008</v>
      </c>
      <c r="BC24" s="131"/>
      <c r="BD24" s="61">
        <f t="shared" si="22"/>
        <v>73092.294008</v>
      </c>
      <c r="BE24" s="132">
        <f t="shared" si="15"/>
        <v>-35480.878008</v>
      </c>
      <c r="BF24" s="132">
        <f>AB24-S24</f>
        <v>80.45000000000437</v>
      </c>
    </row>
    <row r="25" spans="1:58" s="134" customFormat="1" ht="12.75">
      <c r="A25" s="119" t="s">
        <v>41</v>
      </c>
      <c r="B25" s="80">
        <v>4338.84</v>
      </c>
      <c r="C25" s="168">
        <f t="shared" si="1"/>
        <v>37530.966</v>
      </c>
      <c r="D25" s="164">
        <f t="shared" si="19"/>
        <v>3878.6559999999936</v>
      </c>
      <c r="E25" s="81">
        <v>3018.65</v>
      </c>
      <c r="F25" s="81">
        <v>865.73</v>
      </c>
      <c r="G25" s="81">
        <v>4087.95</v>
      </c>
      <c r="H25" s="81">
        <v>1173.43</v>
      </c>
      <c r="I25" s="81">
        <v>9823.45</v>
      </c>
      <c r="J25" s="81">
        <v>2818.28</v>
      </c>
      <c r="K25" s="81">
        <v>6804.74</v>
      </c>
      <c r="L25" s="81">
        <v>1952.59</v>
      </c>
      <c r="M25" s="78">
        <v>2414.95</v>
      </c>
      <c r="N25" s="82">
        <v>692.54</v>
      </c>
      <c r="O25" s="89">
        <v>0</v>
      </c>
      <c r="P25" s="89">
        <v>0</v>
      </c>
      <c r="Q25" s="89"/>
      <c r="R25" s="89"/>
      <c r="S25" s="81">
        <f t="shared" si="2"/>
        <v>26149.74</v>
      </c>
      <c r="T25" s="122">
        <f t="shared" si="3"/>
        <v>7502.57</v>
      </c>
      <c r="U25" s="81">
        <v>3122.55</v>
      </c>
      <c r="V25" s="81">
        <v>4241.34</v>
      </c>
      <c r="W25" s="81">
        <v>10323.89</v>
      </c>
      <c r="X25" s="81">
        <v>7142.7</v>
      </c>
      <c r="Y25" s="81">
        <v>2498.06</v>
      </c>
      <c r="Z25" s="81">
        <v>0</v>
      </c>
      <c r="AA25" s="89">
        <v>0</v>
      </c>
      <c r="AB25" s="89">
        <f>SUM(U25:AA25)</f>
        <v>27328.54</v>
      </c>
      <c r="AC25" s="136">
        <f>D25+T25+AB25</f>
        <v>38709.765999999996</v>
      </c>
      <c r="AD25" s="125">
        <f t="shared" si="6"/>
        <v>0</v>
      </c>
      <c r="AE25" s="125">
        <f t="shared" si="7"/>
        <v>0</v>
      </c>
      <c r="AF25" s="125"/>
      <c r="AG25" s="24">
        <f t="shared" si="20"/>
        <v>2603.304</v>
      </c>
      <c r="AH25" s="24">
        <f>B25*0.2</f>
        <v>867.768</v>
      </c>
      <c r="AI25" s="24">
        <f>0.85*B25</f>
        <v>3688.014</v>
      </c>
      <c r="AJ25" s="24">
        <f t="shared" si="8"/>
        <v>663.84252</v>
      </c>
      <c r="AK25" s="24">
        <f>0.83*B25</f>
        <v>3601.2372</v>
      </c>
      <c r="AL25" s="24">
        <f t="shared" si="9"/>
        <v>648.2226959999999</v>
      </c>
      <c r="AM25" s="24">
        <f>(1.91)*B25</f>
        <v>8287.1844</v>
      </c>
      <c r="AN25" s="24">
        <f t="shared" si="10"/>
        <v>1491.693192</v>
      </c>
      <c r="AO25" s="24"/>
      <c r="AP25" s="24">
        <f t="shared" si="11"/>
        <v>0</v>
      </c>
      <c r="AQ25" s="126"/>
      <c r="AR25" s="126">
        <f t="shared" si="11"/>
        <v>0</v>
      </c>
      <c r="AS25" s="86">
        <v>5272</v>
      </c>
      <c r="AT25" s="86">
        <f>200</f>
        <v>200</v>
      </c>
      <c r="AU25" s="86">
        <f t="shared" si="17"/>
        <v>984.9599999999999</v>
      </c>
      <c r="AV25" s="127"/>
      <c r="AW25" s="185">
        <v>148</v>
      </c>
      <c r="AX25" s="24">
        <f t="shared" si="12"/>
        <v>195.5968</v>
      </c>
      <c r="AY25" s="129"/>
      <c r="AZ25" s="187">
        <v>39836</v>
      </c>
      <c r="BA25" s="130">
        <f t="shared" si="21"/>
        <v>7170.48</v>
      </c>
      <c r="BB25" s="130">
        <f>SUM(AG25:BA25)-AV25-AW25</f>
        <v>75510.302808</v>
      </c>
      <c r="BC25" s="131"/>
      <c r="BD25" s="79">
        <f t="shared" si="22"/>
        <v>75510.302808</v>
      </c>
      <c r="BE25" s="132">
        <f t="shared" si="15"/>
        <v>-36800.536808</v>
      </c>
      <c r="BF25" s="132">
        <f>AB25-S25</f>
        <v>1178.7999999999993</v>
      </c>
    </row>
    <row r="26" spans="1:58" s="23" customFormat="1" ht="12.75">
      <c r="A26" s="18" t="s">
        <v>3</v>
      </c>
      <c r="B26" s="19"/>
      <c r="C26" s="19">
        <f>SUM(C14:C25)</f>
        <v>450557.04800000007</v>
      </c>
      <c r="D26" s="19">
        <f aca="true" t="shared" si="23" ref="D26:BF26">SUM(D14:D25)</f>
        <v>48469.7525</v>
      </c>
      <c r="E26" s="19">
        <f t="shared" si="23"/>
        <v>35268.05</v>
      </c>
      <c r="F26" s="19">
        <f t="shared" si="23"/>
        <v>10258.81</v>
      </c>
      <c r="G26" s="19">
        <f t="shared" si="23"/>
        <v>47712.48</v>
      </c>
      <c r="H26" s="19">
        <f t="shared" si="23"/>
        <v>13887.6</v>
      </c>
      <c r="I26" s="19">
        <f t="shared" si="23"/>
        <v>114714.15000000001</v>
      </c>
      <c r="J26" s="19">
        <f t="shared" si="23"/>
        <v>33378.909999999996</v>
      </c>
      <c r="K26" s="19">
        <f t="shared" si="23"/>
        <v>79453.95000000001</v>
      </c>
      <c r="L26" s="19">
        <f t="shared" si="23"/>
        <v>23120.31</v>
      </c>
      <c r="M26" s="19">
        <f t="shared" si="23"/>
        <v>28232.62</v>
      </c>
      <c r="N26" s="19">
        <f t="shared" si="23"/>
        <v>8206.59</v>
      </c>
      <c r="O26" s="19">
        <f t="shared" si="23"/>
        <v>0</v>
      </c>
      <c r="P26" s="19">
        <f t="shared" si="23"/>
        <v>0</v>
      </c>
      <c r="Q26" s="19">
        <f t="shared" si="23"/>
        <v>0</v>
      </c>
      <c r="R26" s="19">
        <f t="shared" si="23"/>
        <v>0</v>
      </c>
      <c r="S26" s="19">
        <f t="shared" si="23"/>
        <v>305381.25</v>
      </c>
      <c r="T26" s="19">
        <f t="shared" si="23"/>
        <v>88852.22</v>
      </c>
      <c r="U26" s="19">
        <f t="shared" si="23"/>
        <v>33949.29</v>
      </c>
      <c r="V26" s="19">
        <f t="shared" si="23"/>
        <v>45884.05</v>
      </c>
      <c r="W26" s="19">
        <f t="shared" si="23"/>
        <v>109938.22</v>
      </c>
      <c r="X26" s="19">
        <f t="shared" si="23"/>
        <v>76417.48</v>
      </c>
      <c r="Y26" s="19">
        <f t="shared" si="23"/>
        <v>27184.420000000002</v>
      </c>
      <c r="Z26" s="19">
        <f t="shared" si="23"/>
        <v>0</v>
      </c>
      <c r="AA26" s="19">
        <f t="shared" si="23"/>
        <v>0</v>
      </c>
      <c r="AB26" s="19">
        <f t="shared" si="23"/>
        <v>293373.45999999996</v>
      </c>
      <c r="AC26" s="19">
        <f t="shared" si="23"/>
        <v>430695.43249999994</v>
      </c>
      <c r="AD26" s="19">
        <f t="shared" si="23"/>
        <v>0</v>
      </c>
      <c r="AE26" s="19">
        <f t="shared" si="23"/>
        <v>0</v>
      </c>
      <c r="AF26" s="19">
        <f t="shared" si="23"/>
        <v>0</v>
      </c>
      <c r="AG26" s="19">
        <f t="shared" si="23"/>
        <v>30210.331199999997</v>
      </c>
      <c r="AH26" s="19">
        <f t="shared" si="23"/>
        <v>10114.46043208</v>
      </c>
      <c r="AI26" s="19">
        <f t="shared" si="23"/>
        <v>42234.91483130001</v>
      </c>
      <c r="AJ26" s="19">
        <f t="shared" si="23"/>
        <v>7602.284669634002</v>
      </c>
      <c r="AK26" s="19">
        <f t="shared" si="23"/>
        <v>41052.218844892006</v>
      </c>
      <c r="AL26" s="19">
        <f t="shared" si="23"/>
        <v>7389.399392080558</v>
      </c>
      <c r="AM26" s="19">
        <f t="shared" si="23"/>
        <v>94457.16724488676</v>
      </c>
      <c r="AN26" s="19">
        <f t="shared" si="23"/>
        <v>17002.29010407962</v>
      </c>
      <c r="AO26" s="19">
        <f t="shared" si="23"/>
        <v>0</v>
      </c>
      <c r="AP26" s="19">
        <f t="shared" si="23"/>
        <v>0</v>
      </c>
      <c r="AQ26" s="171">
        <f t="shared" si="23"/>
        <v>45079.56</v>
      </c>
      <c r="AR26" s="171">
        <f t="shared" si="23"/>
        <v>8114.3207999999995</v>
      </c>
      <c r="AS26" s="20">
        <f t="shared" si="23"/>
        <v>93798.75</v>
      </c>
      <c r="AT26" s="20">
        <f t="shared" si="23"/>
        <v>200</v>
      </c>
      <c r="AU26" s="20">
        <f t="shared" si="23"/>
        <v>16919.785000000003</v>
      </c>
      <c r="AV26" s="19">
        <f t="shared" si="23"/>
        <v>0</v>
      </c>
      <c r="AW26" s="19">
        <f t="shared" si="23"/>
        <v>5372</v>
      </c>
      <c r="AX26" s="19">
        <f t="shared" si="23"/>
        <v>7099.635200000001</v>
      </c>
      <c r="AY26" s="19">
        <f t="shared" si="23"/>
        <v>27.753600000000002</v>
      </c>
      <c r="AZ26" s="19">
        <f t="shared" si="23"/>
        <v>119508</v>
      </c>
      <c r="BA26" s="19">
        <f t="shared" si="23"/>
        <v>21511.44</v>
      </c>
      <c r="BB26" s="19">
        <f t="shared" si="23"/>
        <v>562294.557718953</v>
      </c>
      <c r="BC26" s="19">
        <f t="shared" si="23"/>
        <v>0</v>
      </c>
      <c r="BD26" s="19">
        <f t="shared" si="23"/>
        <v>562294.557718953</v>
      </c>
      <c r="BE26" s="19">
        <f t="shared" si="23"/>
        <v>-131599.12521895295</v>
      </c>
      <c r="BF26" s="172">
        <f t="shared" si="23"/>
        <v>-12007.790000000005</v>
      </c>
    </row>
    <row r="27" spans="1:58" s="23" customFormat="1" ht="12.75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1"/>
      <c r="V27" s="21"/>
      <c r="W27" s="21"/>
      <c r="X27" s="21"/>
      <c r="Y27" s="21"/>
      <c r="Z27" s="21"/>
      <c r="AA27" s="21"/>
      <c r="AB27" s="21"/>
      <c r="AC27" s="21"/>
      <c r="AD27" s="107"/>
      <c r="AE27" s="107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77"/>
      <c r="AQ27" s="173"/>
      <c r="AR27" s="173"/>
      <c r="AS27" s="77"/>
      <c r="AT27" s="77"/>
      <c r="AU27" s="77"/>
      <c r="AV27" s="22"/>
      <c r="AW27" s="22"/>
      <c r="AX27" s="91"/>
      <c r="AY27" s="57"/>
      <c r="AZ27" s="57"/>
      <c r="BA27" s="57"/>
      <c r="BB27" s="57"/>
      <c r="BC27" s="57"/>
      <c r="BD27" s="57"/>
      <c r="BE27" s="57"/>
      <c r="BF27" s="174"/>
    </row>
    <row r="28" spans="1:58" s="23" customFormat="1" ht="13.5" thickBot="1">
      <c r="A28" s="26" t="s">
        <v>52</v>
      </c>
      <c r="B28" s="27"/>
      <c r="C28" s="27">
        <f>C12+C26</f>
        <v>563242.3280000001</v>
      </c>
      <c r="D28" s="27">
        <f aca="true" t="shared" si="24" ref="D28:BF28">D12+D26</f>
        <v>75593.4750136</v>
      </c>
      <c r="E28" s="27">
        <f t="shared" si="24"/>
        <v>43665.78</v>
      </c>
      <c r="F28" s="27">
        <f t="shared" si="24"/>
        <v>12632.38</v>
      </c>
      <c r="G28" s="27">
        <f t="shared" si="24"/>
        <v>59049.420000000006</v>
      </c>
      <c r="H28" s="27">
        <f t="shared" si="24"/>
        <v>17091.95</v>
      </c>
      <c r="I28" s="27">
        <f t="shared" si="24"/>
        <v>142006.86000000002</v>
      </c>
      <c r="J28" s="27">
        <f t="shared" si="24"/>
        <v>41092.92999999999</v>
      </c>
      <c r="K28" s="27">
        <f t="shared" si="24"/>
        <v>98349.06000000001</v>
      </c>
      <c r="L28" s="27">
        <f t="shared" si="24"/>
        <v>28460.71</v>
      </c>
      <c r="M28" s="27">
        <f t="shared" si="24"/>
        <v>34950.75</v>
      </c>
      <c r="N28" s="27">
        <f t="shared" si="24"/>
        <v>10105.42</v>
      </c>
      <c r="O28" s="27">
        <f t="shared" si="24"/>
        <v>0</v>
      </c>
      <c r="P28" s="27">
        <f t="shared" si="24"/>
        <v>0</v>
      </c>
      <c r="Q28" s="27">
        <f t="shared" si="24"/>
        <v>0</v>
      </c>
      <c r="R28" s="27">
        <f t="shared" si="24"/>
        <v>0</v>
      </c>
      <c r="S28" s="27">
        <f t="shared" si="24"/>
        <v>378021.87</v>
      </c>
      <c r="T28" s="27">
        <f t="shared" si="24"/>
        <v>109383.39</v>
      </c>
      <c r="U28" s="27">
        <f t="shared" si="24"/>
        <v>39365.07</v>
      </c>
      <c r="V28" s="27">
        <f t="shared" si="24"/>
        <v>53195.340000000004</v>
      </c>
      <c r="W28" s="27">
        <f t="shared" si="24"/>
        <v>127939.38</v>
      </c>
      <c r="X28" s="27">
        <f t="shared" si="24"/>
        <v>88602.98999999999</v>
      </c>
      <c r="Y28" s="27">
        <f t="shared" si="24"/>
        <v>31517.08</v>
      </c>
      <c r="Z28" s="27">
        <f t="shared" si="24"/>
        <v>0</v>
      </c>
      <c r="AA28" s="27">
        <f t="shared" si="24"/>
        <v>0</v>
      </c>
      <c r="AB28" s="27">
        <f t="shared" si="24"/>
        <v>340619.86</v>
      </c>
      <c r="AC28" s="27">
        <f t="shared" si="24"/>
        <v>525596.7250136</v>
      </c>
      <c r="AD28" s="27">
        <f t="shared" si="24"/>
        <v>0</v>
      </c>
      <c r="AE28" s="27">
        <f t="shared" si="24"/>
        <v>0</v>
      </c>
      <c r="AF28" s="27">
        <f t="shared" si="24"/>
        <v>0</v>
      </c>
      <c r="AG28" s="27">
        <f t="shared" si="24"/>
        <v>38026.65119999999</v>
      </c>
      <c r="AH28" s="27">
        <f t="shared" si="24"/>
        <v>12796.76091208</v>
      </c>
      <c r="AI28" s="27">
        <f t="shared" si="24"/>
        <v>53320.69463930001</v>
      </c>
      <c r="AJ28" s="27">
        <f>AJ12+AJ26</f>
        <v>9597.725035074001</v>
      </c>
      <c r="AK28" s="27">
        <f t="shared" si="24"/>
        <v>53952.58255177201</v>
      </c>
      <c r="AL28" s="27">
        <f t="shared" si="24"/>
        <v>9711.464859318958</v>
      </c>
      <c r="AM28" s="27">
        <f t="shared" si="24"/>
        <v>118149.08136040675</v>
      </c>
      <c r="AN28" s="27">
        <f t="shared" si="24"/>
        <v>21266.83464487322</v>
      </c>
      <c r="AO28" s="27">
        <f t="shared" si="24"/>
        <v>0</v>
      </c>
      <c r="AP28" s="27">
        <f t="shared" si="24"/>
        <v>0</v>
      </c>
      <c r="AQ28" s="175">
        <f t="shared" si="24"/>
        <v>45079.56</v>
      </c>
      <c r="AR28" s="175">
        <f t="shared" si="24"/>
        <v>8114.3207999999995</v>
      </c>
      <c r="AS28" s="176">
        <f t="shared" si="24"/>
        <v>116751.06</v>
      </c>
      <c r="AT28" s="176">
        <f t="shared" si="24"/>
        <v>200</v>
      </c>
      <c r="AU28" s="176">
        <f t="shared" si="24"/>
        <v>21051.200800000002</v>
      </c>
      <c r="AV28" s="27">
        <f t="shared" si="24"/>
        <v>0</v>
      </c>
      <c r="AW28" s="27">
        <f t="shared" si="24"/>
        <v>5372</v>
      </c>
      <c r="AX28" s="27">
        <f t="shared" si="24"/>
        <v>7099.635200000001</v>
      </c>
      <c r="AY28" s="27">
        <f t="shared" si="24"/>
        <v>27.753600000000002</v>
      </c>
      <c r="AZ28" s="27">
        <f t="shared" si="24"/>
        <v>119508</v>
      </c>
      <c r="BA28" s="27">
        <f t="shared" si="24"/>
        <v>21511.44</v>
      </c>
      <c r="BB28" s="27">
        <f t="shared" si="24"/>
        <v>656137.012002825</v>
      </c>
      <c r="BC28" s="27">
        <f t="shared" si="24"/>
        <v>0</v>
      </c>
      <c r="BD28" s="27">
        <f t="shared" si="24"/>
        <v>656137.012002825</v>
      </c>
      <c r="BE28" s="27">
        <f t="shared" si="24"/>
        <v>-130540.28698922494</v>
      </c>
      <c r="BF28" s="27">
        <f t="shared" si="24"/>
        <v>-37402.01000000001</v>
      </c>
    </row>
    <row r="29" spans="1:58" ht="15" customHeight="1">
      <c r="A29" s="8" t="s">
        <v>91</v>
      </c>
      <c r="B29" s="72"/>
      <c r="C29" s="140"/>
      <c r="D29" s="140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2"/>
      <c r="P29" s="143"/>
      <c r="Q29" s="144"/>
      <c r="R29" s="144"/>
      <c r="S29" s="144"/>
      <c r="T29" s="144"/>
      <c r="U29" s="145"/>
      <c r="V29" s="145"/>
      <c r="W29" s="145"/>
      <c r="X29" s="145"/>
      <c r="Y29" s="145"/>
      <c r="Z29" s="145"/>
      <c r="AA29" s="146"/>
      <c r="AB29" s="146"/>
      <c r="AC29" s="147"/>
      <c r="AD29" s="148"/>
      <c r="AE29" s="148"/>
      <c r="AF29" s="60"/>
      <c r="AG29" s="60"/>
      <c r="AH29" s="60"/>
      <c r="AI29" s="60"/>
      <c r="AJ29" s="60"/>
      <c r="AK29" s="60"/>
      <c r="AL29" s="60"/>
      <c r="AM29" s="60"/>
      <c r="AN29" s="73"/>
      <c r="AO29" s="73"/>
      <c r="AP29" s="73"/>
      <c r="AQ29" s="149"/>
      <c r="AR29" s="150"/>
      <c r="AS29" s="108"/>
      <c r="AT29" s="108"/>
      <c r="AU29" s="151"/>
      <c r="AV29" s="60"/>
      <c r="AW29" s="60"/>
      <c r="AX29" s="61"/>
      <c r="AY29" s="1"/>
      <c r="AZ29" s="1"/>
      <c r="BA29" s="1"/>
      <c r="BB29" s="1"/>
      <c r="BC29" s="1"/>
      <c r="BD29" s="1"/>
      <c r="BE29" s="1"/>
      <c r="BF29" s="116"/>
    </row>
    <row r="30" spans="1:58" ht="12.75">
      <c r="A30" s="13" t="s">
        <v>43</v>
      </c>
      <c r="B30" s="80">
        <v>4338.84</v>
      </c>
      <c r="C30" s="168">
        <f aca="true" t="shared" si="25" ref="C30:C41">B30*8.65</f>
        <v>37530.966</v>
      </c>
      <c r="D30" s="164">
        <f aca="true" t="shared" si="26" ref="D30:D41">C30-E30-F30-G30-H30-I30-J30-K30-L30-M30-N30</f>
        <v>3521.9360000000033</v>
      </c>
      <c r="E30" s="81">
        <v>3061.42</v>
      </c>
      <c r="F30" s="81">
        <v>864.17</v>
      </c>
      <c r="G30" s="81">
        <v>4145.71</v>
      </c>
      <c r="H30" s="81">
        <v>1171.39</v>
      </c>
      <c r="I30" s="81">
        <v>9962.47</v>
      </c>
      <c r="J30" s="81">
        <v>2813.27</v>
      </c>
      <c r="K30" s="81">
        <v>6901</v>
      </c>
      <c r="L30" s="81">
        <v>1949.14</v>
      </c>
      <c r="M30" s="78">
        <v>2449.12</v>
      </c>
      <c r="N30" s="82">
        <v>691.34</v>
      </c>
      <c r="O30" s="89">
        <v>0</v>
      </c>
      <c r="P30" s="89">
        <v>0</v>
      </c>
      <c r="Q30" s="89"/>
      <c r="R30" s="89"/>
      <c r="S30" s="81">
        <f aca="true" t="shared" si="27" ref="S30:S41">E30+G30+I30+K30+M30+O30+Q30</f>
        <v>26519.719999999998</v>
      </c>
      <c r="T30" s="122">
        <f aca="true" t="shared" si="28" ref="T30:T41">P30+N30+L30+J30+H30+F30+R30</f>
        <v>7489.31</v>
      </c>
      <c r="U30" s="81">
        <v>2604.53</v>
      </c>
      <c r="V30" s="81">
        <v>3525.79</v>
      </c>
      <c r="W30" s="81">
        <v>8474.05</v>
      </c>
      <c r="X30" s="81">
        <v>5869.82</v>
      </c>
      <c r="Y30" s="81">
        <v>2083.67</v>
      </c>
      <c r="Z30" s="81">
        <v>0</v>
      </c>
      <c r="AA30" s="89">
        <v>0</v>
      </c>
      <c r="AB30" s="89">
        <f>SUM(U30:AA30)</f>
        <v>22557.86</v>
      </c>
      <c r="AC30" s="136">
        <f aca="true" t="shared" si="29" ref="AC30:AC41">D30+T30+AB30</f>
        <v>33569.106</v>
      </c>
      <c r="AD30" s="125">
        <f aca="true" t="shared" si="30" ref="AD30:AD41">P30+Z30</f>
        <v>0</v>
      </c>
      <c r="AE30" s="125">
        <f aca="true" t="shared" si="31" ref="AE30:AE41">R30+AA30</f>
        <v>0</v>
      </c>
      <c r="AF30" s="125"/>
      <c r="AG30" s="24">
        <f aca="true" t="shared" si="32" ref="AG30:AG41">0.6*B30</f>
        <v>2603.304</v>
      </c>
      <c r="AH30" s="24">
        <f aca="true" t="shared" si="33" ref="AH30:AH41">B30*0.2</f>
        <v>867.768</v>
      </c>
      <c r="AI30" s="24">
        <f aca="true" t="shared" si="34" ref="AI30:AI41">1*B30</f>
        <v>4338.84</v>
      </c>
      <c r="AJ30" s="24">
        <v>0</v>
      </c>
      <c r="AK30" s="24">
        <f aca="true" t="shared" si="35" ref="AK30:AK41">0.98*B30</f>
        <v>4252.0632000000005</v>
      </c>
      <c r="AL30" s="24">
        <v>0</v>
      </c>
      <c r="AM30" s="24">
        <f aca="true" t="shared" si="36" ref="AM30:AM41">2.25*B30</f>
        <v>9762.39</v>
      </c>
      <c r="AN30" s="24">
        <v>0</v>
      </c>
      <c r="AO30" s="24"/>
      <c r="AP30" s="24">
        <v>0</v>
      </c>
      <c r="AQ30" s="126"/>
      <c r="AR30" s="126"/>
      <c r="AS30" s="86">
        <v>10675</v>
      </c>
      <c r="AT30" s="86"/>
      <c r="AU30" s="86">
        <f aca="true" t="shared" si="37" ref="AU30:AU35">AT30*0.18</f>
        <v>0</v>
      </c>
      <c r="AV30" s="127"/>
      <c r="AW30" s="185">
        <v>82</v>
      </c>
      <c r="AX30" s="24">
        <f aca="true" t="shared" si="38" ref="AX30:AX41">AW30*1.4</f>
        <v>114.8</v>
      </c>
      <c r="AY30" s="129"/>
      <c r="AZ30" s="169"/>
      <c r="BA30" s="130">
        <f aca="true" t="shared" si="39" ref="BA30:BA41">AZ30*0.18</f>
        <v>0</v>
      </c>
      <c r="BB30" s="130">
        <f aca="true" t="shared" si="40" ref="BB30:BB41">SUM(AG30:BA30)-AV30-AW30</f>
        <v>32614.1652</v>
      </c>
      <c r="BC30" s="131"/>
      <c r="BD30" s="153"/>
      <c r="BE30" s="132">
        <f>(AC30-BB30)+(AF30-BC30)</f>
        <v>954.9408000000003</v>
      </c>
      <c r="BF30" s="132">
        <f>AB30-S30</f>
        <v>-3961.859999999997</v>
      </c>
    </row>
    <row r="31" spans="1:58" ht="12.75">
      <c r="A31" s="13" t="s">
        <v>44</v>
      </c>
      <c r="B31" s="87">
        <v>4338.84</v>
      </c>
      <c r="C31" s="168">
        <f t="shared" si="25"/>
        <v>37530.966</v>
      </c>
      <c r="D31" s="164">
        <f t="shared" si="26"/>
        <v>3573.4959999999965</v>
      </c>
      <c r="E31" s="88">
        <v>3079.74</v>
      </c>
      <c r="F31" s="81">
        <v>839.9</v>
      </c>
      <c r="G31" s="81">
        <v>4170.62</v>
      </c>
      <c r="H31" s="81">
        <v>1138.42</v>
      </c>
      <c r="I31" s="81">
        <v>10022.19</v>
      </c>
      <c r="J31" s="81">
        <v>2734.19</v>
      </c>
      <c r="K31" s="81">
        <v>6942.39</v>
      </c>
      <c r="L31" s="81">
        <v>1894.33</v>
      </c>
      <c r="M31" s="78">
        <v>2463.82</v>
      </c>
      <c r="N31" s="82">
        <v>671.87</v>
      </c>
      <c r="O31" s="89">
        <v>0</v>
      </c>
      <c r="P31" s="89">
        <v>0</v>
      </c>
      <c r="Q31" s="81">
        <v>0</v>
      </c>
      <c r="R31" s="89">
        <v>0</v>
      </c>
      <c r="S31" s="81">
        <f t="shared" si="27"/>
        <v>26678.76</v>
      </c>
      <c r="T31" s="122">
        <f t="shared" si="28"/>
        <v>7278.709999999999</v>
      </c>
      <c r="U31" s="81">
        <v>2530.69</v>
      </c>
      <c r="V31" s="81">
        <v>3426.88</v>
      </c>
      <c r="W31" s="81">
        <v>8235.32</v>
      </c>
      <c r="X31" s="81">
        <v>18223.66</v>
      </c>
      <c r="Y31" s="81">
        <v>2024.62</v>
      </c>
      <c r="Z31" s="81">
        <v>0</v>
      </c>
      <c r="AA31" s="89">
        <v>0</v>
      </c>
      <c r="AB31" s="89">
        <f>SUM(U31:AA31)</f>
        <v>34441.17</v>
      </c>
      <c r="AC31" s="136">
        <f t="shared" si="29"/>
        <v>45293.37599999999</v>
      </c>
      <c r="AD31" s="125">
        <f t="shared" si="30"/>
        <v>0</v>
      </c>
      <c r="AE31" s="125">
        <f t="shared" si="31"/>
        <v>0</v>
      </c>
      <c r="AF31" s="125"/>
      <c r="AG31" s="24">
        <f t="shared" si="32"/>
        <v>2603.304</v>
      </c>
      <c r="AH31" s="24">
        <f t="shared" si="33"/>
        <v>867.768</v>
      </c>
      <c r="AI31" s="24">
        <f t="shared" si="34"/>
        <v>4338.84</v>
      </c>
      <c r="AJ31" s="24">
        <v>0</v>
      </c>
      <c r="AK31" s="24">
        <f t="shared" si="35"/>
        <v>4252.0632000000005</v>
      </c>
      <c r="AL31" s="24">
        <v>0</v>
      </c>
      <c r="AM31" s="24">
        <f t="shared" si="36"/>
        <v>9762.39</v>
      </c>
      <c r="AN31" s="24">
        <v>0</v>
      </c>
      <c r="AO31" s="24">
        <f>888*5.4</f>
        <v>4795.200000000001</v>
      </c>
      <c r="AP31" s="24"/>
      <c r="AQ31" s="126"/>
      <c r="AR31" s="126"/>
      <c r="AS31" s="86">
        <v>542</v>
      </c>
      <c r="AT31" s="86"/>
      <c r="AU31" s="86">
        <f t="shared" si="37"/>
        <v>0</v>
      </c>
      <c r="AV31" s="127"/>
      <c r="AW31" s="185">
        <v>136</v>
      </c>
      <c r="AX31" s="24">
        <f t="shared" si="38"/>
        <v>190.39999999999998</v>
      </c>
      <c r="AY31" s="129"/>
      <c r="AZ31" s="169"/>
      <c r="BA31" s="130">
        <f t="shared" si="39"/>
        <v>0</v>
      </c>
      <c r="BB31" s="130">
        <f t="shared" si="40"/>
        <v>27351.965200000002</v>
      </c>
      <c r="BC31" s="131"/>
      <c r="BD31" s="153"/>
      <c r="BE31" s="132">
        <f aca="true" t="shared" si="41" ref="BE31:BE41">(AC31-BB31)+(AF31-BC31)</f>
        <v>17941.410799999987</v>
      </c>
      <c r="BF31" s="132">
        <f aca="true" t="shared" si="42" ref="BF31:BF41">AB31-S31</f>
        <v>7762.41</v>
      </c>
    </row>
    <row r="32" spans="1:58" ht="13.5" thickBot="1">
      <c r="A32" s="155" t="s">
        <v>45</v>
      </c>
      <c r="B32" s="80">
        <v>4338.84</v>
      </c>
      <c r="C32" s="168">
        <f t="shared" si="25"/>
        <v>37530.966</v>
      </c>
      <c r="D32" s="164">
        <f t="shared" si="26"/>
        <v>3521.9460000000004</v>
      </c>
      <c r="E32" s="81">
        <v>3068.11</v>
      </c>
      <c r="F32" s="81">
        <v>857.48</v>
      </c>
      <c r="G32" s="81">
        <v>4154.85</v>
      </c>
      <c r="H32" s="81">
        <v>1162.25</v>
      </c>
      <c r="I32" s="81">
        <v>9984.31</v>
      </c>
      <c r="J32" s="81">
        <v>2791.43</v>
      </c>
      <c r="K32" s="81">
        <v>6916.14</v>
      </c>
      <c r="L32" s="81">
        <v>1933.99</v>
      </c>
      <c r="M32" s="78">
        <v>2454.52</v>
      </c>
      <c r="N32" s="82">
        <v>685.94</v>
      </c>
      <c r="O32" s="89">
        <v>0</v>
      </c>
      <c r="P32" s="89">
        <v>0</v>
      </c>
      <c r="Q32" s="89">
        <v>0</v>
      </c>
      <c r="R32" s="89">
        <v>0</v>
      </c>
      <c r="S32" s="81">
        <f t="shared" si="27"/>
        <v>26577.93</v>
      </c>
      <c r="T32" s="122">
        <f t="shared" si="28"/>
        <v>7431.09</v>
      </c>
      <c r="U32" s="81">
        <v>3333.41</v>
      </c>
      <c r="V32" s="81">
        <v>4513.55</v>
      </c>
      <c r="W32" s="81">
        <v>10847.03</v>
      </c>
      <c r="X32" s="81">
        <v>7513.62</v>
      </c>
      <c r="Y32" s="81">
        <v>2666.69</v>
      </c>
      <c r="Z32" s="81">
        <v>0</v>
      </c>
      <c r="AA32" s="89">
        <v>0</v>
      </c>
      <c r="AB32" s="89">
        <f>SUM(U32:AA32)</f>
        <v>28874.3</v>
      </c>
      <c r="AC32" s="136">
        <f t="shared" si="29"/>
        <v>39827.335999999996</v>
      </c>
      <c r="AD32" s="125">
        <f t="shared" si="30"/>
        <v>0</v>
      </c>
      <c r="AE32" s="125">
        <f t="shared" si="31"/>
        <v>0</v>
      </c>
      <c r="AF32" s="125"/>
      <c r="AG32" s="24">
        <f t="shared" si="32"/>
        <v>2603.304</v>
      </c>
      <c r="AH32" s="24">
        <f t="shared" si="33"/>
        <v>867.768</v>
      </c>
      <c r="AI32" s="24">
        <f t="shared" si="34"/>
        <v>4338.84</v>
      </c>
      <c r="AJ32" s="24">
        <v>0</v>
      </c>
      <c r="AK32" s="24">
        <f t="shared" si="35"/>
        <v>4252.0632000000005</v>
      </c>
      <c r="AL32" s="24">
        <v>0</v>
      </c>
      <c r="AM32" s="24">
        <f t="shared" si="36"/>
        <v>9762.39</v>
      </c>
      <c r="AN32" s="24">
        <v>0</v>
      </c>
      <c r="AO32" s="24"/>
      <c r="AP32" s="24"/>
      <c r="AQ32" s="126"/>
      <c r="AR32" s="126"/>
      <c r="AS32" s="86">
        <v>3707</v>
      </c>
      <c r="AT32" s="86"/>
      <c r="AU32" s="86">
        <f t="shared" si="37"/>
        <v>0</v>
      </c>
      <c r="AV32" s="127"/>
      <c r="AW32" s="185">
        <v>3</v>
      </c>
      <c r="AX32" s="24">
        <f t="shared" si="38"/>
        <v>4.199999999999999</v>
      </c>
      <c r="AY32" s="129"/>
      <c r="AZ32" s="169"/>
      <c r="BA32" s="130">
        <f t="shared" si="39"/>
        <v>0</v>
      </c>
      <c r="BB32" s="130">
        <f t="shared" si="40"/>
        <v>25535.5652</v>
      </c>
      <c r="BC32" s="131"/>
      <c r="BD32" s="159"/>
      <c r="BE32" s="132">
        <f t="shared" si="41"/>
        <v>14291.770799999995</v>
      </c>
      <c r="BF32" s="132">
        <f t="shared" si="42"/>
        <v>2296.369999999999</v>
      </c>
    </row>
    <row r="33" spans="1:58" ht="12.75">
      <c r="A33" s="161" t="s">
        <v>46</v>
      </c>
      <c r="B33" s="80">
        <v>4338.84</v>
      </c>
      <c r="C33" s="168">
        <f t="shared" si="25"/>
        <v>37530.966</v>
      </c>
      <c r="D33" s="164">
        <f t="shared" si="26"/>
        <v>3521.9460000000004</v>
      </c>
      <c r="E33" s="81">
        <v>3068.11</v>
      </c>
      <c r="F33" s="81">
        <v>857.48</v>
      </c>
      <c r="G33" s="81">
        <v>4154.85</v>
      </c>
      <c r="H33" s="81">
        <v>1162.25</v>
      </c>
      <c r="I33" s="81">
        <v>9984.31</v>
      </c>
      <c r="J33" s="81">
        <v>2791.43</v>
      </c>
      <c r="K33" s="81">
        <v>6916.14</v>
      </c>
      <c r="L33" s="81">
        <v>1933.99</v>
      </c>
      <c r="M33" s="78">
        <v>2454.52</v>
      </c>
      <c r="N33" s="82">
        <v>685.94</v>
      </c>
      <c r="O33" s="89">
        <v>0</v>
      </c>
      <c r="P33" s="89">
        <v>0</v>
      </c>
      <c r="Q33" s="89"/>
      <c r="R33" s="89"/>
      <c r="S33" s="81">
        <f t="shared" si="27"/>
        <v>26577.93</v>
      </c>
      <c r="T33" s="122">
        <f t="shared" si="28"/>
        <v>7431.09</v>
      </c>
      <c r="U33" s="81">
        <v>2804.65</v>
      </c>
      <c r="V33" s="81">
        <v>3786.26</v>
      </c>
      <c r="W33" s="81">
        <v>9111.85</v>
      </c>
      <c r="X33" s="81">
        <v>6310.54</v>
      </c>
      <c r="Y33" s="81">
        <v>2243.7</v>
      </c>
      <c r="Z33" s="81">
        <v>0</v>
      </c>
      <c r="AA33" s="89">
        <v>0</v>
      </c>
      <c r="AB33" s="89">
        <f>SUM(U33:AA33)</f>
        <v>24257</v>
      </c>
      <c r="AC33" s="136">
        <f t="shared" si="29"/>
        <v>35210.036</v>
      </c>
      <c r="AD33" s="125">
        <f t="shared" si="30"/>
        <v>0</v>
      </c>
      <c r="AE33" s="125">
        <f t="shared" si="31"/>
        <v>0</v>
      </c>
      <c r="AF33" s="125"/>
      <c r="AG33" s="24">
        <f t="shared" si="32"/>
        <v>2603.304</v>
      </c>
      <c r="AH33" s="24">
        <f t="shared" si="33"/>
        <v>867.768</v>
      </c>
      <c r="AI33" s="24">
        <f t="shared" si="34"/>
        <v>4338.84</v>
      </c>
      <c r="AJ33" s="24">
        <v>0</v>
      </c>
      <c r="AK33" s="24">
        <f t="shared" si="35"/>
        <v>4252.0632000000005</v>
      </c>
      <c r="AL33" s="24">
        <v>0</v>
      </c>
      <c r="AM33" s="24">
        <f t="shared" si="36"/>
        <v>9762.39</v>
      </c>
      <c r="AN33" s="24">
        <v>0</v>
      </c>
      <c r="AO33" s="24"/>
      <c r="AP33" s="24"/>
      <c r="AQ33" s="126">
        <f>9000</f>
        <v>9000</v>
      </c>
      <c r="AR33" s="126"/>
      <c r="AS33" s="86">
        <v>1998</v>
      </c>
      <c r="AT33" s="86">
        <f>6600+183+198+82+384+32+50+940+384+1176+1068+1092+680+72+119+35+122+6600+1650</f>
        <v>21467</v>
      </c>
      <c r="AU33" s="86"/>
      <c r="AV33" s="127"/>
      <c r="AW33" s="185">
        <v>-5276</v>
      </c>
      <c r="AX33" s="24">
        <f t="shared" si="38"/>
        <v>-7386.4</v>
      </c>
      <c r="AY33" s="129"/>
      <c r="AZ33" s="169"/>
      <c r="BA33" s="130">
        <f t="shared" si="39"/>
        <v>0</v>
      </c>
      <c r="BB33" s="130">
        <f t="shared" si="40"/>
        <v>46902.9652</v>
      </c>
      <c r="BC33" s="131"/>
      <c r="BD33" s="79"/>
      <c r="BE33" s="132">
        <f t="shared" si="41"/>
        <v>-11692.929199999999</v>
      </c>
      <c r="BF33" s="132">
        <f t="shared" si="42"/>
        <v>-2320.9300000000003</v>
      </c>
    </row>
    <row r="34" spans="1:58" ht="12.75">
      <c r="A34" s="13" t="s">
        <v>47</v>
      </c>
      <c r="B34" s="80">
        <v>4340.74</v>
      </c>
      <c r="C34" s="168">
        <f t="shared" si="25"/>
        <v>37547.401</v>
      </c>
      <c r="D34" s="164">
        <f t="shared" si="26"/>
        <v>3522.540999999996</v>
      </c>
      <c r="E34" s="81">
        <v>3069.95</v>
      </c>
      <c r="F34" s="81">
        <v>857.48</v>
      </c>
      <c r="G34" s="81">
        <v>4157.32</v>
      </c>
      <c r="H34" s="81">
        <v>1162.25</v>
      </c>
      <c r="I34" s="81">
        <v>9990.29</v>
      </c>
      <c r="J34" s="81">
        <v>2791.43</v>
      </c>
      <c r="K34" s="81">
        <v>6920.2</v>
      </c>
      <c r="L34" s="81">
        <v>1933.99</v>
      </c>
      <c r="M34" s="78">
        <v>2456.01</v>
      </c>
      <c r="N34" s="82">
        <v>685.94</v>
      </c>
      <c r="O34" s="89">
        <v>0</v>
      </c>
      <c r="P34" s="89">
        <v>0</v>
      </c>
      <c r="Q34" s="89"/>
      <c r="R34" s="89"/>
      <c r="S34" s="81">
        <f t="shared" si="27"/>
        <v>26593.770000000004</v>
      </c>
      <c r="T34" s="122">
        <f t="shared" si="28"/>
        <v>7431.09</v>
      </c>
      <c r="U34" s="177">
        <v>3522.51</v>
      </c>
      <c r="V34" s="177">
        <v>4771.09</v>
      </c>
      <c r="W34" s="177">
        <v>11463.21</v>
      </c>
      <c r="X34" s="177">
        <v>-4577.85</v>
      </c>
      <c r="Y34" s="177">
        <v>2818.01</v>
      </c>
      <c r="Z34" s="177">
        <v>0</v>
      </c>
      <c r="AA34" s="178">
        <v>0</v>
      </c>
      <c r="AB34" s="89">
        <f aca="true" t="shared" si="43" ref="AB34:AB41">SUM(U34:AA34)</f>
        <v>17996.969999999998</v>
      </c>
      <c r="AC34" s="136">
        <f t="shared" si="29"/>
        <v>28950.600999999995</v>
      </c>
      <c r="AD34" s="125">
        <f t="shared" si="30"/>
        <v>0</v>
      </c>
      <c r="AE34" s="125">
        <f t="shared" si="31"/>
        <v>0</v>
      </c>
      <c r="AF34" s="125"/>
      <c r="AG34" s="24">
        <f t="shared" si="32"/>
        <v>2604.444</v>
      </c>
      <c r="AH34" s="24">
        <f t="shared" si="33"/>
        <v>868.148</v>
      </c>
      <c r="AI34" s="24">
        <f t="shared" si="34"/>
        <v>4340.74</v>
      </c>
      <c r="AJ34" s="24">
        <v>0</v>
      </c>
      <c r="AK34" s="24">
        <f t="shared" si="35"/>
        <v>4253.9252</v>
      </c>
      <c r="AL34" s="24">
        <v>0</v>
      </c>
      <c r="AM34" s="24">
        <f t="shared" si="36"/>
        <v>9766.664999999999</v>
      </c>
      <c r="AN34" s="24">
        <v>0</v>
      </c>
      <c r="AO34" s="24"/>
      <c r="AP34" s="24"/>
      <c r="AQ34" s="126"/>
      <c r="AR34" s="126"/>
      <c r="AS34" s="86">
        <v>13259</v>
      </c>
      <c r="AT34" s="86"/>
      <c r="AU34" s="86">
        <f t="shared" si="37"/>
        <v>0</v>
      </c>
      <c r="AV34" s="127"/>
      <c r="AW34" s="185">
        <v>5694</v>
      </c>
      <c r="AX34" s="24">
        <f t="shared" si="38"/>
        <v>7971.599999999999</v>
      </c>
      <c r="AY34" s="129"/>
      <c r="AZ34" s="169"/>
      <c r="BA34" s="130">
        <f t="shared" si="39"/>
        <v>0</v>
      </c>
      <c r="BB34" s="130">
        <f t="shared" si="40"/>
        <v>43064.5222</v>
      </c>
      <c r="BC34" s="131"/>
      <c r="BD34" s="17"/>
      <c r="BE34" s="132">
        <f t="shared" si="41"/>
        <v>-14113.921200000004</v>
      </c>
      <c r="BF34" s="132">
        <f t="shared" si="42"/>
        <v>-8596.800000000007</v>
      </c>
    </row>
    <row r="35" spans="1:58" ht="13.5" thickBot="1">
      <c r="A35" s="155" t="s">
        <v>48</v>
      </c>
      <c r="B35" s="80">
        <v>4340.74</v>
      </c>
      <c r="C35" s="168">
        <f t="shared" si="25"/>
        <v>37547.401</v>
      </c>
      <c r="D35" s="164">
        <f t="shared" si="26"/>
        <v>3518.8609999999962</v>
      </c>
      <c r="E35" s="81">
        <v>3082.53</v>
      </c>
      <c r="F35" s="81">
        <v>845.33</v>
      </c>
      <c r="G35" s="81">
        <v>4174.34</v>
      </c>
      <c r="H35" s="81">
        <v>1145.79</v>
      </c>
      <c r="I35" s="81">
        <v>10031.21</v>
      </c>
      <c r="J35" s="81">
        <v>2751.9</v>
      </c>
      <c r="K35" s="81">
        <v>6948.55</v>
      </c>
      <c r="L35" s="81">
        <v>1906.6</v>
      </c>
      <c r="M35" s="78">
        <v>2466.07</v>
      </c>
      <c r="N35" s="82">
        <v>676.22</v>
      </c>
      <c r="O35" s="89">
        <v>0</v>
      </c>
      <c r="P35" s="89">
        <v>0</v>
      </c>
      <c r="Q35" s="89">
        <v>0</v>
      </c>
      <c r="R35" s="89">
        <v>0</v>
      </c>
      <c r="S35" s="81">
        <f t="shared" si="27"/>
        <v>26702.7</v>
      </c>
      <c r="T35" s="122">
        <f t="shared" si="28"/>
        <v>7325.839999999999</v>
      </c>
      <c r="U35" s="81">
        <v>3216.57</v>
      </c>
      <c r="V35" s="81">
        <v>4366.58</v>
      </c>
      <c r="W35" s="81">
        <v>10491.96</v>
      </c>
      <c r="X35" s="81">
        <v>7268.66</v>
      </c>
      <c r="Y35" s="81">
        <v>2564.72</v>
      </c>
      <c r="Z35" s="81">
        <v>0</v>
      </c>
      <c r="AA35" s="89">
        <v>0</v>
      </c>
      <c r="AB35" s="89">
        <f t="shared" si="43"/>
        <v>27908.49</v>
      </c>
      <c r="AC35" s="136">
        <f t="shared" si="29"/>
        <v>38753.191</v>
      </c>
      <c r="AD35" s="125">
        <f t="shared" si="30"/>
        <v>0</v>
      </c>
      <c r="AE35" s="125">
        <f t="shared" si="31"/>
        <v>0</v>
      </c>
      <c r="AF35" s="125"/>
      <c r="AG35" s="24">
        <f t="shared" si="32"/>
        <v>2604.444</v>
      </c>
      <c r="AH35" s="24">
        <f t="shared" si="33"/>
        <v>868.148</v>
      </c>
      <c r="AI35" s="24">
        <f t="shared" si="34"/>
        <v>4340.74</v>
      </c>
      <c r="AJ35" s="24">
        <v>0</v>
      </c>
      <c r="AK35" s="24">
        <f t="shared" si="35"/>
        <v>4253.9252</v>
      </c>
      <c r="AL35" s="24">
        <v>0</v>
      </c>
      <c r="AM35" s="24">
        <f t="shared" si="36"/>
        <v>9766.664999999999</v>
      </c>
      <c r="AN35" s="24">
        <v>0</v>
      </c>
      <c r="AO35" s="24"/>
      <c r="AP35" s="24"/>
      <c r="AQ35" s="126"/>
      <c r="AR35" s="126"/>
      <c r="AS35" s="86">
        <v>1706</v>
      </c>
      <c r="AT35" s="86"/>
      <c r="AU35" s="86">
        <f t="shared" si="37"/>
        <v>0</v>
      </c>
      <c r="AV35" s="127"/>
      <c r="AW35" s="185">
        <v>392</v>
      </c>
      <c r="AX35" s="24">
        <f t="shared" si="38"/>
        <v>548.8</v>
      </c>
      <c r="AY35" s="129"/>
      <c r="AZ35" s="169"/>
      <c r="BA35" s="130">
        <f t="shared" si="39"/>
        <v>0</v>
      </c>
      <c r="BB35" s="130">
        <f t="shared" si="40"/>
        <v>24088.7222</v>
      </c>
      <c r="BC35" s="131"/>
      <c r="BD35" s="165"/>
      <c r="BE35" s="132">
        <f t="shared" si="41"/>
        <v>14664.468799999999</v>
      </c>
      <c r="BF35" s="132">
        <f t="shared" si="42"/>
        <v>1205.7900000000009</v>
      </c>
    </row>
    <row r="36" spans="1:58" ht="12.75">
      <c r="A36" s="161" t="s">
        <v>49</v>
      </c>
      <c r="B36" s="80">
        <v>4340.74</v>
      </c>
      <c r="C36" s="168">
        <f t="shared" si="25"/>
        <v>37547.401</v>
      </c>
      <c r="D36" s="164">
        <f t="shared" si="26"/>
        <v>3448.2810000000013</v>
      </c>
      <c r="E36" s="88">
        <v>3936.17</v>
      </c>
      <c r="F36" s="81">
        <v>0</v>
      </c>
      <c r="G36" s="81">
        <v>5330.94</v>
      </c>
      <c r="H36" s="81">
        <v>0</v>
      </c>
      <c r="I36" s="81">
        <v>12809.67</v>
      </c>
      <c r="J36" s="81">
        <v>0</v>
      </c>
      <c r="K36" s="81">
        <v>8873.4</v>
      </c>
      <c r="L36" s="81">
        <v>0</v>
      </c>
      <c r="M36" s="78">
        <v>3148.94</v>
      </c>
      <c r="N36" s="82">
        <v>0</v>
      </c>
      <c r="O36" s="89">
        <v>0</v>
      </c>
      <c r="P36" s="89">
        <v>0</v>
      </c>
      <c r="Q36" s="89"/>
      <c r="R36" s="89"/>
      <c r="S36" s="81">
        <f t="shared" si="27"/>
        <v>34099.12</v>
      </c>
      <c r="T36" s="122">
        <f t="shared" si="28"/>
        <v>0</v>
      </c>
      <c r="U36" s="88">
        <v>2831.2</v>
      </c>
      <c r="V36" s="81">
        <v>3834.6</v>
      </c>
      <c r="W36" s="81">
        <v>9213.99</v>
      </c>
      <c r="X36" s="81">
        <v>6382.73</v>
      </c>
      <c r="Y36" s="81">
        <v>2265.08</v>
      </c>
      <c r="Z36" s="81">
        <v>0</v>
      </c>
      <c r="AA36" s="89">
        <v>0</v>
      </c>
      <c r="AB36" s="89">
        <f t="shared" si="43"/>
        <v>24527.6</v>
      </c>
      <c r="AC36" s="136">
        <f t="shared" si="29"/>
        <v>27975.881</v>
      </c>
      <c r="AD36" s="125">
        <f t="shared" si="30"/>
        <v>0</v>
      </c>
      <c r="AE36" s="125">
        <f t="shared" si="31"/>
        <v>0</v>
      </c>
      <c r="AF36" s="125"/>
      <c r="AG36" s="24">
        <f t="shared" si="32"/>
        <v>2604.444</v>
      </c>
      <c r="AH36" s="24">
        <f t="shared" si="33"/>
        <v>868.148</v>
      </c>
      <c r="AI36" s="24">
        <f t="shared" si="34"/>
        <v>4340.74</v>
      </c>
      <c r="AJ36" s="24">
        <v>0</v>
      </c>
      <c r="AK36" s="24">
        <f t="shared" si="35"/>
        <v>4253.9252</v>
      </c>
      <c r="AL36" s="24">
        <v>0</v>
      </c>
      <c r="AM36" s="24">
        <f t="shared" si="36"/>
        <v>9766.664999999999</v>
      </c>
      <c r="AN36" s="24">
        <v>0</v>
      </c>
      <c r="AO36" s="24"/>
      <c r="AP36" s="24"/>
      <c r="AQ36" s="126"/>
      <c r="AR36" s="126"/>
      <c r="AS36" s="86"/>
      <c r="AT36" s="86">
        <f>6186.44+915.26</f>
        <v>7101.7</v>
      </c>
      <c r="AU36" s="86">
        <f>AT36*0.18-0.01</f>
        <v>1278.2959999999998</v>
      </c>
      <c r="AV36" s="127"/>
      <c r="AW36" s="185">
        <v>264</v>
      </c>
      <c r="AX36" s="24">
        <f t="shared" si="38"/>
        <v>369.59999999999997</v>
      </c>
      <c r="AY36" s="129"/>
      <c r="AZ36" s="169"/>
      <c r="BA36" s="130">
        <f t="shared" si="39"/>
        <v>0</v>
      </c>
      <c r="BB36" s="130">
        <f t="shared" si="40"/>
        <v>30583.5182</v>
      </c>
      <c r="BC36" s="131"/>
      <c r="BD36" s="17"/>
      <c r="BE36" s="132">
        <f t="shared" si="41"/>
        <v>-2607.6371999999974</v>
      </c>
      <c r="BF36" s="132">
        <f t="shared" si="42"/>
        <v>-9571.520000000004</v>
      </c>
    </row>
    <row r="37" spans="1:58" ht="12.75">
      <c r="A37" s="13" t="s">
        <v>50</v>
      </c>
      <c r="B37" s="80">
        <v>4340.74</v>
      </c>
      <c r="C37" s="168">
        <f t="shared" si="25"/>
        <v>37547.401</v>
      </c>
      <c r="D37" s="164">
        <f t="shared" si="26"/>
        <v>3395.881000000002</v>
      </c>
      <c r="E37" s="88">
        <v>3942.34</v>
      </c>
      <c r="F37" s="81">
        <v>0</v>
      </c>
      <c r="G37" s="81">
        <v>5338.96</v>
      </c>
      <c r="H37" s="81">
        <v>0</v>
      </c>
      <c r="I37" s="81">
        <v>12829.4</v>
      </c>
      <c r="J37" s="81">
        <v>0</v>
      </c>
      <c r="K37" s="81">
        <v>8886.95</v>
      </c>
      <c r="L37" s="81">
        <v>0</v>
      </c>
      <c r="M37" s="78">
        <v>3153.87</v>
      </c>
      <c r="N37" s="82">
        <v>0</v>
      </c>
      <c r="O37" s="89">
        <v>0</v>
      </c>
      <c r="P37" s="89">
        <v>0</v>
      </c>
      <c r="Q37" s="89"/>
      <c r="R37" s="89"/>
      <c r="S37" s="81">
        <f t="shared" si="27"/>
        <v>34151.52</v>
      </c>
      <c r="T37" s="122">
        <f t="shared" si="28"/>
        <v>0</v>
      </c>
      <c r="U37" s="177">
        <v>3910.24</v>
      </c>
      <c r="V37" s="177">
        <v>5298.72</v>
      </c>
      <c r="W37" s="177">
        <v>13219.19</v>
      </c>
      <c r="X37" s="177">
        <v>8820.16</v>
      </c>
      <c r="Y37" s="177">
        <v>3125.38</v>
      </c>
      <c r="Z37" s="177">
        <v>0</v>
      </c>
      <c r="AA37" s="178">
        <v>0</v>
      </c>
      <c r="AB37" s="89">
        <f t="shared" si="43"/>
        <v>34373.69</v>
      </c>
      <c r="AC37" s="136">
        <f t="shared" si="29"/>
        <v>37769.571</v>
      </c>
      <c r="AD37" s="125">
        <f t="shared" si="30"/>
        <v>0</v>
      </c>
      <c r="AE37" s="125">
        <f t="shared" si="31"/>
        <v>0</v>
      </c>
      <c r="AF37" s="125"/>
      <c r="AG37" s="24">
        <f t="shared" si="32"/>
        <v>2604.444</v>
      </c>
      <c r="AH37" s="24">
        <f t="shared" si="33"/>
        <v>868.148</v>
      </c>
      <c r="AI37" s="24">
        <f t="shared" si="34"/>
        <v>4340.74</v>
      </c>
      <c r="AJ37" s="24">
        <v>0</v>
      </c>
      <c r="AK37" s="24">
        <f t="shared" si="35"/>
        <v>4253.9252</v>
      </c>
      <c r="AL37" s="24">
        <v>0</v>
      </c>
      <c r="AM37" s="24">
        <f t="shared" si="36"/>
        <v>9766.664999999999</v>
      </c>
      <c r="AN37" s="24">
        <v>0</v>
      </c>
      <c r="AO37" s="24"/>
      <c r="AP37" s="24"/>
      <c r="AQ37" s="126"/>
      <c r="AR37" s="126"/>
      <c r="AS37" s="86"/>
      <c r="AT37" s="86">
        <f>47.8</f>
        <v>47.8</v>
      </c>
      <c r="AU37" s="86"/>
      <c r="AV37" s="127"/>
      <c r="AW37" s="185">
        <v>157</v>
      </c>
      <c r="AX37" s="24">
        <f t="shared" si="38"/>
        <v>219.79999999999998</v>
      </c>
      <c r="AY37" s="129"/>
      <c r="AZ37" s="169"/>
      <c r="BA37" s="130">
        <f t="shared" si="39"/>
        <v>0</v>
      </c>
      <c r="BB37" s="130">
        <f t="shared" si="40"/>
        <v>22101.5222</v>
      </c>
      <c r="BC37" s="131"/>
      <c r="BD37" s="17"/>
      <c r="BE37" s="132">
        <f t="shared" si="41"/>
        <v>15668.048800000004</v>
      </c>
      <c r="BF37" s="132">
        <f t="shared" si="42"/>
        <v>222.17000000000553</v>
      </c>
    </row>
    <row r="38" spans="1:58" ht="13.5" thickBot="1">
      <c r="A38" s="155" t="s">
        <v>51</v>
      </c>
      <c r="B38" s="80">
        <v>4340.74</v>
      </c>
      <c r="C38" s="168">
        <f t="shared" si="25"/>
        <v>37547.401</v>
      </c>
      <c r="D38" s="164">
        <f t="shared" si="26"/>
        <v>3312.970999999996</v>
      </c>
      <c r="E38" s="81">
        <v>3952.08</v>
      </c>
      <c r="F38" s="81">
        <v>0</v>
      </c>
      <c r="G38" s="81">
        <v>5351.64</v>
      </c>
      <c r="H38" s="81">
        <v>0</v>
      </c>
      <c r="I38" s="81">
        <v>12860.61</v>
      </c>
      <c r="J38" s="81">
        <v>0</v>
      </c>
      <c r="K38" s="81">
        <v>8908.44</v>
      </c>
      <c r="L38" s="81">
        <v>0</v>
      </c>
      <c r="M38" s="78">
        <v>3161.66</v>
      </c>
      <c r="N38" s="82">
        <v>0</v>
      </c>
      <c r="O38" s="89">
        <v>0</v>
      </c>
      <c r="P38" s="89">
        <v>0</v>
      </c>
      <c r="Q38" s="89"/>
      <c r="R38" s="89"/>
      <c r="S38" s="81">
        <f t="shared" si="27"/>
        <v>34234.43000000001</v>
      </c>
      <c r="T38" s="122">
        <f t="shared" si="28"/>
        <v>0</v>
      </c>
      <c r="U38" s="81">
        <v>3864.77</v>
      </c>
      <c r="V38" s="81">
        <v>5237.49</v>
      </c>
      <c r="W38" s="81">
        <v>12057.03</v>
      </c>
      <c r="X38" s="81">
        <v>8473.02</v>
      </c>
      <c r="Y38" s="81">
        <v>3000.78</v>
      </c>
      <c r="Z38" s="81">
        <v>0</v>
      </c>
      <c r="AA38" s="89">
        <v>0</v>
      </c>
      <c r="AB38" s="89">
        <f t="shared" si="43"/>
        <v>32633.09</v>
      </c>
      <c r="AC38" s="136">
        <f t="shared" si="29"/>
        <v>35946.060999999994</v>
      </c>
      <c r="AD38" s="125">
        <f t="shared" si="30"/>
        <v>0</v>
      </c>
      <c r="AE38" s="125">
        <f t="shared" si="31"/>
        <v>0</v>
      </c>
      <c r="AF38" s="125"/>
      <c r="AG38" s="24">
        <f t="shared" si="32"/>
        <v>2604.444</v>
      </c>
      <c r="AH38" s="24">
        <f t="shared" si="33"/>
        <v>868.148</v>
      </c>
      <c r="AI38" s="24">
        <f t="shared" si="34"/>
        <v>4340.74</v>
      </c>
      <c r="AJ38" s="24">
        <v>0</v>
      </c>
      <c r="AK38" s="24">
        <f t="shared" si="35"/>
        <v>4253.9252</v>
      </c>
      <c r="AL38" s="24">
        <v>0</v>
      </c>
      <c r="AM38" s="24">
        <f t="shared" si="36"/>
        <v>9766.664999999999</v>
      </c>
      <c r="AN38" s="24">
        <v>0</v>
      </c>
      <c r="AO38" s="24"/>
      <c r="AP38" s="24"/>
      <c r="AQ38" s="126"/>
      <c r="AR38" s="126"/>
      <c r="AS38" s="86">
        <v>12274</v>
      </c>
      <c r="AT38" s="86"/>
      <c r="AU38" s="179">
        <f>AT38*0.18</f>
        <v>0</v>
      </c>
      <c r="AV38" s="127"/>
      <c r="AW38" s="185">
        <v>170</v>
      </c>
      <c r="AX38" s="24">
        <f t="shared" si="38"/>
        <v>237.99999999999997</v>
      </c>
      <c r="AY38" s="129"/>
      <c r="AZ38" s="169"/>
      <c r="BA38" s="130">
        <f t="shared" si="39"/>
        <v>0</v>
      </c>
      <c r="BB38" s="130">
        <f t="shared" si="40"/>
        <v>34345.9222</v>
      </c>
      <c r="BC38" s="131"/>
      <c r="BD38" s="165"/>
      <c r="BE38" s="132">
        <f t="shared" si="41"/>
        <v>1600.1387999999934</v>
      </c>
      <c r="BF38" s="132">
        <f t="shared" si="42"/>
        <v>-1601.3400000000074</v>
      </c>
    </row>
    <row r="39" spans="1:58" ht="12.75">
      <c r="A39" s="167" t="s">
        <v>39</v>
      </c>
      <c r="B39" s="80">
        <v>4340.74</v>
      </c>
      <c r="C39" s="168">
        <f t="shared" si="25"/>
        <v>37547.401</v>
      </c>
      <c r="D39" s="164">
        <f t="shared" si="26"/>
        <v>3384.8810000000008</v>
      </c>
      <c r="E39" s="83">
        <v>3943.63</v>
      </c>
      <c r="F39" s="83">
        <v>0</v>
      </c>
      <c r="G39" s="83">
        <v>5340.64</v>
      </c>
      <c r="H39" s="83">
        <v>0</v>
      </c>
      <c r="I39" s="83">
        <v>12833.54</v>
      </c>
      <c r="J39" s="83">
        <v>0</v>
      </c>
      <c r="K39" s="83">
        <v>8889.81</v>
      </c>
      <c r="L39" s="83">
        <v>0</v>
      </c>
      <c r="M39" s="84">
        <v>3154.9</v>
      </c>
      <c r="N39" s="85">
        <v>0</v>
      </c>
      <c r="O39" s="157">
        <v>0</v>
      </c>
      <c r="P39" s="157">
        <v>0</v>
      </c>
      <c r="Q39" s="157"/>
      <c r="R39" s="157"/>
      <c r="S39" s="81">
        <f t="shared" si="27"/>
        <v>34162.520000000004</v>
      </c>
      <c r="T39" s="122">
        <f t="shared" si="28"/>
        <v>0</v>
      </c>
      <c r="U39" s="81">
        <v>3363.56</v>
      </c>
      <c r="V39" s="81">
        <v>4556.06</v>
      </c>
      <c r="W39" s="81">
        <v>10946.82</v>
      </c>
      <c r="X39" s="81">
        <v>7583.23</v>
      </c>
      <c r="Y39" s="81">
        <v>2690.86</v>
      </c>
      <c r="Z39" s="81">
        <v>0</v>
      </c>
      <c r="AA39" s="89">
        <v>0</v>
      </c>
      <c r="AB39" s="89">
        <f t="shared" si="43"/>
        <v>29140.530000000002</v>
      </c>
      <c r="AC39" s="136">
        <f t="shared" si="29"/>
        <v>32525.411000000004</v>
      </c>
      <c r="AD39" s="125">
        <f t="shared" si="30"/>
        <v>0</v>
      </c>
      <c r="AE39" s="125">
        <f t="shared" si="31"/>
        <v>0</v>
      </c>
      <c r="AF39" s="125">
        <f>100</f>
        <v>100</v>
      </c>
      <c r="AG39" s="24">
        <f t="shared" si="32"/>
        <v>2604.444</v>
      </c>
      <c r="AH39" s="24">
        <f t="shared" si="33"/>
        <v>868.148</v>
      </c>
      <c r="AI39" s="24">
        <f t="shared" si="34"/>
        <v>4340.74</v>
      </c>
      <c r="AJ39" s="24">
        <v>0</v>
      </c>
      <c r="AK39" s="24">
        <f t="shared" si="35"/>
        <v>4253.9252</v>
      </c>
      <c r="AL39" s="24">
        <v>0</v>
      </c>
      <c r="AM39" s="24">
        <f t="shared" si="36"/>
        <v>9766.664999999999</v>
      </c>
      <c r="AN39" s="24">
        <v>0</v>
      </c>
      <c r="AO39" s="24"/>
      <c r="AP39" s="24"/>
      <c r="AQ39" s="126"/>
      <c r="AR39" s="126"/>
      <c r="AS39" s="86">
        <v>1378</v>
      </c>
      <c r="AT39" s="86"/>
      <c r="AU39" s="86">
        <f>AT39*0.18</f>
        <v>0</v>
      </c>
      <c r="AV39" s="127"/>
      <c r="AW39" s="185">
        <v>120</v>
      </c>
      <c r="AX39" s="24">
        <f t="shared" si="38"/>
        <v>168</v>
      </c>
      <c r="AY39" s="129"/>
      <c r="AZ39" s="169"/>
      <c r="BA39" s="130">
        <f t="shared" si="39"/>
        <v>0</v>
      </c>
      <c r="BB39" s="130">
        <f t="shared" si="40"/>
        <v>23379.9222</v>
      </c>
      <c r="BC39" s="131">
        <f>25</f>
        <v>25</v>
      </c>
      <c r="BD39" s="170"/>
      <c r="BE39" s="132">
        <f t="shared" si="41"/>
        <v>9220.488800000003</v>
      </c>
      <c r="BF39" s="132">
        <f t="shared" si="42"/>
        <v>-5021.990000000002</v>
      </c>
    </row>
    <row r="40" spans="1:58" ht="12.75">
      <c r="A40" s="13" t="s">
        <v>40</v>
      </c>
      <c r="B40" s="80">
        <v>4340.74</v>
      </c>
      <c r="C40" s="168">
        <f t="shared" si="25"/>
        <v>37547.401</v>
      </c>
      <c r="D40" s="164">
        <f t="shared" si="26"/>
        <v>3351.121000000001</v>
      </c>
      <c r="E40" s="81">
        <v>3947.6</v>
      </c>
      <c r="F40" s="81">
        <v>0</v>
      </c>
      <c r="G40" s="81">
        <v>5345.8</v>
      </c>
      <c r="H40" s="81">
        <v>0</v>
      </c>
      <c r="I40" s="81">
        <v>12846.25</v>
      </c>
      <c r="J40" s="81">
        <v>0</v>
      </c>
      <c r="K40" s="81">
        <v>8898.55</v>
      </c>
      <c r="L40" s="81">
        <v>0</v>
      </c>
      <c r="M40" s="78">
        <v>3158.08</v>
      </c>
      <c r="N40" s="82">
        <v>0</v>
      </c>
      <c r="O40" s="89">
        <v>0</v>
      </c>
      <c r="P40" s="89">
        <v>0</v>
      </c>
      <c r="Q40" s="89"/>
      <c r="R40" s="89"/>
      <c r="S40" s="81">
        <f t="shared" si="27"/>
        <v>34196.28</v>
      </c>
      <c r="T40" s="122">
        <f t="shared" si="28"/>
        <v>0</v>
      </c>
      <c r="U40" s="88">
        <v>3540.01</v>
      </c>
      <c r="V40" s="81">
        <v>4794.55</v>
      </c>
      <c r="W40" s="81">
        <v>11719.08</v>
      </c>
      <c r="X40" s="81">
        <v>8193</v>
      </c>
      <c r="Y40" s="81">
        <v>2907.43</v>
      </c>
      <c r="Z40" s="81">
        <v>0</v>
      </c>
      <c r="AA40" s="89">
        <v>0</v>
      </c>
      <c r="AB40" s="89">
        <f t="shared" si="43"/>
        <v>31154.07</v>
      </c>
      <c r="AC40" s="136">
        <f t="shared" si="29"/>
        <v>34505.191</v>
      </c>
      <c r="AD40" s="125">
        <f t="shared" si="30"/>
        <v>0</v>
      </c>
      <c r="AE40" s="125">
        <f t="shared" si="31"/>
        <v>0</v>
      </c>
      <c r="AF40" s="125">
        <f>100</f>
        <v>100</v>
      </c>
      <c r="AG40" s="24">
        <f t="shared" si="32"/>
        <v>2604.444</v>
      </c>
      <c r="AH40" s="24">
        <f t="shared" si="33"/>
        <v>868.148</v>
      </c>
      <c r="AI40" s="24">
        <f t="shared" si="34"/>
        <v>4340.74</v>
      </c>
      <c r="AJ40" s="24">
        <v>0</v>
      </c>
      <c r="AK40" s="24">
        <f t="shared" si="35"/>
        <v>4253.9252</v>
      </c>
      <c r="AL40" s="24">
        <v>0</v>
      </c>
      <c r="AM40" s="24">
        <f t="shared" si="36"/>
        <v>9766.664999999999</v>
      </c>
      <c r="AN40" s="24">
        <v>0</v>
      </c>
      <c r="AO40" s="24"/>
      <c r="AP40" s="24"/>
      <c r="AQ40" s="126"/>
      <c r="AR40" s="126"/>
      <c r="AS40" s="86">
        <v>303</v>
      </c>
      <c r="AT40" s="86">
        <f>12000+1563</f>
        <v>13563</v>
      </c>
      <c r="AU40" s="86">
        <f>0*0.18</f>
        <v>0</v>
      </c>
      <c r="AV40" s="127"/>
      <c r="AW40" s="185">
        <v>200</v>
      </c>
      <c r="AX40" s="24">
        <f t="shared" si="38"/>
        <v>280</v>
      </c>
      <c r="AY40" s="129"/>
      <c r="AZ40" s="169"/>
      <c r="BA40" s="130">
        <f t="shared" si="39"/>
        <v>0</v>
      </c>
      <c r="BB40" s="130">
        <f t="shared" si="40"/>
        <v>35979.9222</v>
      </c>
      <c r="BC40" s="131">
        <f>25</f>
        <v>25</v>
      </c>
      <c r="BD40" s="61"/>
      <c r="BE40" s="132">
        <f t="shared" si="41"/>
        <v>-1399.731200000002</v>
      </c>
      <c r="BF40" s="132">
        <f t="shared" si="42"/>
        <v>-3042.209999999999</v>
      </c>
    </row>
    <row r="41" spans="1:58" s="134" customFormat="1" ht="12.75">
      <c r="A41" s="119" t="s">
        <v>41</v>
      </c>
      <c r="B41" s="80">
        <v>4340.74</v>
      </c>
      <c r="C41" s="168">
        <f t="shared" si="25"/>
        <v>37547.401</v>
      </c>
      <c r="D41" s="164">
        <f t="shared" si="26"/>
        <v>3364.821000000001</v>
      </c>
      <c r="E41" s="81">
        <v>3945.99</v>
      </c>
      <c r="F41" s="81">
        <v>0</v>
      </c>
      <c r="G41" s="81">
        <v>5343.71</v>
      </c>
      <c r="H41" s="81">
        <v>0</v>
      </c>
      <c r="I41" s="81">
        <v>12841.09</v>
      </c>
      <c r="J41" s="81">
        <v>0</v>
      </c>
      <c r="K41" s="81">
        <v>8895</v>
      </c>
      <c r="L41" s="81">
        <v>0</v>
      </c>
      <c r="M41" s="78">
        <v>3156.79</v>
      </c>
      <c r="N41" s="82">
        <v>0</v>
      </c>
      <c r="O41" s="89">
        <v>0</v>
      </c>
      <c r="P41" s="89">
        <v>0</v>
      </c>
      <c r="Q41" s="89"/>
      <c r="R41" s="89"/>
      <c r="S41" s="81">
        <f t="shared" si="27"/>
        <v>34182.58</v>
      </c>
      <c r="T41" s="122">
        <f t="shared" si="28"/>
        <v>0</v>
      </c>
      <c r="U41" s="81">
        <v>4079.64</v>
      </c>
      <c r="V41" s="81">
        <v>5526.09</v>
      </c>
      <c r="W41" s="81">
        <v>14734.99</v>
      </c>
      <c r="X41" s="81">
        <v>9220.72</v>
      </c>
      <c r="Y41" s="81">
        <v>3270.84</v>
      </c>
      <c r="Z41" s="81">
        <v>0</v>
      </c>
      <c r="AA41" s="89">
        <v>0</v>
      </c>
      <c r="AB41" s="89">
        <f t="shared" si="43"/>
        <v>36832.28</v>
      </c>
      <c r="AC41" s="136">
        <f t="shared" si="29"/>
        <v>40197.101</v>
      </c>
      <c r="AD41" s="125">
        <f t="shared" si="30"/>
        <v>0</v>
      </c>
      <c r="AE41" s="125">
        <f t="shared" si="31"/>
        <v>0</v>
      </c>
      <c r="AF41" s="125">
        <f>100</f>
        <v>100</v>
      </c>
      <c r="AG41" s="24">
        <f t="shared" si="32"/>
        <v>2604.444</v>
      </c>
      <c r="AH41" s="24">
        <f t="shared" si="33"/>
        <v>868.148</v>
      </c>
      <c r="AI41" s="24">
        <f t="shared" si="34"/>
        <v>4340.74</v>
      </c>
      <c r="AJ41" s="24">
        <v>0</v>
      </c>
      <c r="AK41" s="24">
        <f t="shared" si="35"/>
        <v>4253.9252</v>
      </c>
      <c r="AL41" s="24">
        <v>0</v>
      </c>
      <c r="AM41" s="24">
        <f t="shared" si="36"/>
        <v>9766.664999999999</v>
      </c>
      <c r="AN41" s="24">
        <v>0</v>
      </c>
      <c r="AO41" s="24"/>
      <c r="AP41" s="24"/>
      <c r="AQ41" s="126"/>
      <c r="AR41" s="126"/>
      <c r="AS41" s="86"/>
      <c r="AT41" s="86">
        <v>16280</v>
      </c>
      <c r="AU41" s="86">
        <f>0*0.18</f>
        <v>0</v>
      </c>
      <c r="AV41" s="127"/>
      <c r="AW41" s="185">
        <v>78</v>
      </c>
      <c r="AX41" s="24">
        <f>AW41*1.4+22547.72</f>
        <v>22656.920000000002</v>
      </c>
      <c r="AY41" s="129"/>
      <c r="AZ41" s="169"/>
      <c r="BA41" s="130">
        <f t="shared" si="39"/>
        <v>0</v>
      </c>
      <c r="BB41" s="130">
        <f t="shared" si="40"/>
        <v>60770.8422</v>
      </c>
      <c r="BC41" s="131">
        <f>25</f>
        <v>25</v>
      </c>
      <c r="BD41" s="79"/>
      <c r="BE41" s="132">
        <f t="shared" si="41"/>
        <v>-20498.741199999997</v>
      </c>
      <c r="BF41" s="132">
        <f t="shared" si="42"/>
        <v>2649.699999999997</v>
      </c>
    </row>
    <row r="42" spans="1:58" s="23" customFormat="1" ht="12.75">
      <c r="A42" s="18" t="s">
        <v>3</v>
      </c>
      <c r="B42" s="19"/>
      <c r="C42" s="19">
        <f>SUM(C30:C41)</f>
        <v>450503.0720000001</v>
      </c>
      <c r="D42" s="19">
        <f aca="true" t="shared" si="44" ref="D42:BF42">SUM(D30:D41)</f>
        <v>41438.682</v>
      </c>
      <c r="E42" s="19">
        <f t="shared" si="44"/>
        <v>42097.66999999999</v>
      </c>
      <c r="F42" s="19">
        <f t="shared" si="44"/>
        <v>5121.84</v>
      </c>
      <c r="G42" s="19">
        <f t="shared" si="44"/>
        <v>57009.38</v>
      </c>
      <c r="H42" s="19">
        <f t="shared" si="44"/>
        <v>6942.35</v>
      </c>
      <c r="I42" s="19">
        <f t="shared" si="44"/>
        <v>136995.34</v>
      </c>
      <c r="J42" s="19">
        <f t="shared" si="44"/>
        <v>16673.65</v>
      </c>
      <c r="K42" s="19">
        <f t="shared" si="44"/>
        <v>94896.57</v>
      </c>
      <c r="L42" s="19">
        <f t="shared" si="44"/>
        <v>11552.04</v>
      </c>
      <c r="M42" s="19">
        <f t="shared" si="44"/>
        <v>33678.3</v>
      </c>
      <c r="N42" s="19">
        <f t="shared" si="44"/>
        <v>4097.25</v>
      </c>
      <c r="O42" s="19">
        <f t="shared" si="44"/>
        <v>0</v>
      </c>
      <c r="P42" s="19">
        <f t="shared" si="44"/>
        <v>0</v>
      </c>
      <c r="Q42" s="19">
        <f t="shared" si="44"/>
        <v>0</v>
      </c>
      <c r="R42" s="19">
        <f t="shared" si="44"/>
        <v>0</v>
      </c>
      <c r="S42" s="19">
        <f t="shared" si="44"/>
        <v>364677.26000000007</v>
      </c>
      <c r="T42" s="19">
        <f t="shared" si="44"/>
        <v>44387.13</v>
      </c>
      <c r="U42" s="19">
        <f t="shared" si="44"/>
        <v>39601.780000000006</v>
      </c>
      <c r="V42" s="19">
        <f t="shared" si="44"/>
        <v>53637.66</v>
      </c>
      <c r="W42" s="19">
        <f t="shared" si="44"/>
        <v>130514.52000000002</v>
      </c>
      <c r="X42" s="19">
        <f t="shared" si="44"/>
        <v>89281.31</v>
      </c>
      <c r="Y42" s="19">
        <f t="shared" si="44"/>
        <v>31661.78</v>
      </c>
      <c r="Z42" s="19">
        <f t="shared" si="44"/>
        <v>0</v>
      </c>
      <c r="AA42" s="19">
        <f t="shared" si="44"/>
        <v>0</v>
      </c>
      <c r="AB42" s="19">
        <f t="shared" si="44"/>
        <v>344697.05000000005</v>
      </c>
      <c r="AC42" s="19">
        <f t="shared" si="44"/>
        <v>430522.862</v>
      </c>
      <c r="AD42" s="19">
        <f t="shared" si="44"/>
        <v>0</v>
      </c>
      <c r="AE42" s="19">
        <f t="shared" si="44"/>
        <v>0</v>
      </c>
      <c r="AF42" s="19">
        <f t="shared" si="44"/>
        <v>300</v>
      </c>
      <c r="AG42" s="19">
        <f t="shared" si="44"/>
        <v>31248.767999999996</v>
      </c>
      <c r="AH42" s="19">
        <f t="shared" si="44"/>
        <v>10416.256</v>
      </c>
      <c r="AI42" s="19">
        <f t="shared" si="44"/>
        <v>52081.279999999984</v>
      </c>
      <c r="AJ42" s="19">
        <f t="shared" si="44"/>
        <v>0</v>
      </c>
      <c r="AK42" s="19">
        <f t="shared" si="44"/>
        <v>51039.654399999985</v>
      </c>
      <c r="AL42" s="19">
        <f t="shared" si="44"/>
        <v>0</v>
      </c>
      <c r="AM42" s="19">
        <f t="shared" si="44"/>
        <v>117182.87999999996</v>
      </c>
      <c r="AN42" s="19">
        <f t="shared" si="44"/>
        <v>0</v>
      </c>
      <c r="AO42" s="19">
        <f t="shared" si="44"/>
        <v>4795.200000000001</v>
      </c>
      <c r="AP42" s="19">
        <f t="shared" si="44"/>
        <v>0</v>
      </c>
      <c r="AQ42" s="171">
        <f t="shared" si="44"/>
        <v>9000</v>
      </c>
      <c r="AR42" s="171">
        <f t="shared" si="44"/>
        <v>0</v>
      </c>
      <c r="AS42" s="20">
        <f t="shared" si="44"/>
        <v>45842</v>
      </c>
      <c r="AT42" s="20">
        <f t="shared" si="44"/>
        <v>58459.5</v>
      </c>
      <c r="AU42" s="20">
        <f t="shared" si="44"/>
        <v>1278.2959999999998</v>
      </c>
      <c r="AV42" s="19">
        <f t="shared" si="44"/>
        <v>0</v>
      </c>
      <c r="AW42" s="19">
        <f t="shared" si="44"/>
        <v>2020</v>
      </c>
      <c r="AX42" s="19">
        <f t="shared" si="44"/>
        <v>25375.72</v>
      </c>
      <c r="AY42" s="19">
        <f t="shared" si="44"/>
        <v>0</v>
      </c>
      <c r="AZ42" s="19">
        <f t="shared" si="44"/>
        <v>0</v>
      </c>
      <c r="BA42" s="19">
        <f t="shared" si="44"/>
        <v>0</v>
      </c>
      <c r="BB42" s="19">
        <f t="shared" si="44"/>
        <v>406719.5544000001</v>
      </c>
      <c r="BC42" s="19">
        <f t="shared" si="44"/>
        <v>75</v>
      </c>
      <c r="BD42" s="19">
        <f t="shared" si="44"/>
        <v>0</v>
      </c>
      <c r="BE42" s="19">
        <f t="shared" si="44"/>
        <v>24028.30759999997</v>
      </c>
      <c r="BF42" s="172">
        <f t="shared" si="44"/>
        <v>-19980.210000000014</v>
      </c>
    </row>
    <row r="43" spans="1:58" s="23" customFormat="1" ht="12.75">
      <c r="A43" s="18"/>
      <c r="B43" s="19"/>
      <c r="C43" s="1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1"/>
      <c r="V43" s="21"/>
      <c r="W43" s="21"/>
      <c r="X43" s="21"/>
      <c r="Y43" s="21"/>
      <c r="Z43" s="21"/>
      <c r="AA43" s="21"/>
      <c r="AB43" s="21"/>
      <c r="AC43" s="21"/>
      <c r="AD43" s="107"/>
      <c r="AE43" s="107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77"/>
      <c r="AQ43" s="173"/>
      <c r="AR43" s="173"/>
      <c r="AS43" s="77"/>
      <c r="AT43" s="77"/>
      <c r="AU43" s="77"/>
      <c r="AV43" s="22"/>
      <c r="AW43" s="22"/>
      <c r="AX43" s="91"/>
      <c r="AY43" s="57"/>
      <c r="AZ43" s="57"/>
      <c r="BA43" s="57"/>
      <c r="BB43" s="57"/>
      <c r="BC43" s="57"/>
      <c r="BD43" s="57"/>
      <c r="BE43" s="57"/>
      <c r="BF43" s="174"/>
    </row>
    <row r="44" spans="1:58" s="23" customFormat="1" ht="13.5" thickBot="1">
      <c r="A44" s="26" t="s">
        <v>52</v>
      </c>
      <c r="B44" s="27"/>
      <c r="C44" s="27">
        <f>C28+C42</f>
        <v>1013745.4000000001</v>
      </c>
      <c r="D44" s="27">
        <f aca="true" t="shared" si="45" ref="D44:BF44">D28+D42</f>
        <v>117032.1570136</v>
      </c>
      <c r="E44" s="27">
        <f t="shared" si="45"/>
        <v>85763.44999999998</v>
      </c>
      <c r="F44" s="27">
        <f t="shared" si="45"/>
        <v>17754.22</v>
      </c>
      <c r="G44" s="27">
        <f t="shared" si="45"/>
        <v>116058.8</v>
      </c>
      <c r="H44" s="27">
        <f t="shared" si="45"/>
        <v>24034.300000000003</v>
      </c>
      <c r="I44" s="27">
        <f t="shared" si="45"/>
        <v>279002.2</v>
      </c>
      <c r="J44" s="27">
        <f t="shared" si="45"/>
        <v>57766.579999999994</v>
      </c>
      <c r="K44" s="27">
        <f t="shared" si="45"/>
        <v>193245.63</v>
      </c>
      <c r="L44" s="27">
        <f t="shared" si="45"/>
        <v>40012.75</v>
      </c>
      <c r="M44" s="27">
        <f t="shared" si="45"/>
        <v>68629.05</v>
      </c>
      <c r="N44" s="27">
        <f t="shared" si="45"/>
        <v>14202.67</v>
      </c>
      <c r="O44" s="27">
        <f t="shared" si="45"/>
        <v>0</v>
      </c>
      <c r="P44" s="27">
        <f t="shared" si="45"/>
        <v>0</v>
      </c>
      <c r="Q44" s="27">
        <f t="shared" si="45"/>
        <v>0</v>
      </c>
      <c r="R44" s="27">
        <f t="shared" si="45"/>
        <v>0</v>
      </c>
      <c r="S44" s="27">
        <f t="shared" si="45"/>
        <v>742699.1300000001</v>
      </c>
      <c r="T44" s="27">
        <f t="shared" si="45"/>
        <v>153770.52</v>
      </c>
      <c r="U44" s="27">
        <f t="shared" si="45"/>
        <v>78966.85</v>
      </c>
      <c r="V44" s="27">
        <f t="shared" si="45"/>
        <v>106833</v>
      </c>
      <c r="W44" s="27">
        <f t="shared" si="45"/>
        <v>258453.90000000002</v>
      </c>
      <c r="X44" s="27">
        <f t="shared" si="45"/>
        <v>177884.3</v>
      </c>
      <c r="Y44" s="27">
        <f t="shared" si="45"/>
        <v>63178.86</v>
      </c>
      <c r="Z44" s="27">
        <f t="shared" si="45"/>
        <v>0</v>
      </c>
      <c r="AA44" s="27">
        <f t="shared" si="45"/>
        <v>0</v>
      </c>
      <c r="AB44" s="27">
        <f t="shared" si="45"/>
        <v>685316.91</v>
      </c>
      <c r="AC44" s="27">
        <f t="shared" si="45"/>
        <v>956119.5870135999</v>
      </c>
      <c r="AD44" s="27">
        <f t="shared" si="45"/>
        <v>0</v>
      </c>
      <c r="AE44" s="27">
        <f t="shared" si="45"/>
        <v>0</v>
      </c>
      <c r="AF44" s="27">
        <f t="shared" si="45"/>
        <v>300</v>
      </c>
      <c r="AG44" s="27">
        <f t="shared" si="45"/>
        <v>69275.41919999999</v>
      </c>
      <c r="AH44" s="27">
        <f t="shared" si="45"/>
        <v>23213.01691208</v>
      </c>
      <c r="AI44" s="27">
        <f t="shared" si="45"/>
        <v>105401.9746393</v>
      </c>
      <c r="AJ44" s="27">
        <f t="shared" si="45"/>
        <v>9597.725035074001</v>
      </c>
      <c r="AK44" s="27">
        <f t="shared" si="45"/>
        <v>104992.23695177199</v>
      </c>
      <c r="AL44" s="27">
        <f t="shared" si="45"/>
        <v>9711.464859318958</v>
      </c>
      <c r="AM44" s="27">
        <f t="shared" si="45"/>
        <v>235331.9613604067</v>
      </c>
      <c r="AN44" s="27">
        <f t="shared" si="45"/>
        <v>21266.83464487322</v>
      </c>
      <c r="AO44" s="27">
        <f t="shared" si="45"/>
        <v>4795.200000000001</v>
      </c>
      <c r="AP44" s="27">
        <f t="shared" si="45"/>
        <v>0</v>
      </c>
      <c r="AQ44" s="175">
        <f t="shared" si="45"/>
        <v>54079.56</v>
      </c>
      <c r="AR44" s="175">
        <f t="shared" si="45"/>
        <v>8114.3207999999995</v>
      </c>
      <c r="AS44" s="176">
        <f t="shared" si="45"/>
        <v>162593.06</v>
      </c>
      <c r="AT44" s="176">
        <f t="shared" si="45"/>
        <v>58659.5</v>
      </c>
      <c r="AU44" s="176">
        <f t="shared" si="45"/>
        <v>22329.4968</v>
      </c>
      <c r="AV44" s="27">
        <f t="shared" si="45"/>
        <v>0</v>
      </c>
      <c r="AW44" s="27">
        <f t="shared" si="45"/>
        <v>7392</v>
      </c>
      <c r="AX44" s="27">
        <f t="shared" si="45"/>
        <v>32475.3552</v>
      </c>
      <c r="AY44" s="27">
        <f t="shared" si="45"/>
        <v>27.753600000000002</v>
      </c>
      <c r="AZ44" s="27">
        <f t="shared" si="45"/>
        <v>119508</v>
      </c>
      <c r="BA44" s="27">
        <f t="shared" si="45"/>
        <v>21511.44</v>
      </c>
      <c r="BB44" s="27">
        <f t="shared" si="45"/>
        <v>1062856.566402825</v>
      </c>
      <c r="BC44" s="27">
        <f t="shared" si="45"/>
        <v>75</v>
      </c>
      <c r="BD44" s="27">
        <f t="shared" si="45"/>
        <v>656137.012002825</v>
      </c>
      <c r="BE44" s="27">
        <f t="shared" si="45"/>
        <v>-106511.97938922497</v>
      </c>
      <c r="BF44" s="27">
        <f t="shared" si="45"/>
        <v>-57382.22000000002</v>
      </c>
    </row>
  </sheetData>
  <sheetProtection/>
  <mergeCells count="67">
    <mergeCell ref="A1:N1"/>
    <mergeCell ref="A3:A6"/>
    <mergeCell ref="B3:B6"/>
    <mergeCell ref="C3:C6"/>
    <mergeCell ref="D3:D6"/>
    <mergeCell ref="I5:I6"/>
    <mergeCell ref="J5:J6"/>
    <mergeCell ref="K5:K6"/>
    <mergeCell ref="E5:E6"/>
    <mergeCell ref="F5:F6"/>
    <mergeCell ref="AF3:AF6"/>
    <mergeCell ref="AJ5:AJ6"/>
    <mergeCell ref="AK5:AK6"/>
    <mergeCell ref="AL5:AL6"/>
    <mergeCell ref="S3:T4"/>
    <mergeCell ref="U3:AB4"/>
    <mergeCell ref="AC3:AC6"/>
    <mergeCell ref="AD3:AD6"/>
    <mergeCell ref="T5:T6"/>
    <mergeCell ref="U5:U6"/>
    <mergeCell ref="W5:W6"/>
    <mergeCell ref="X5:X6"/>
    <mergeCell ref="Y5:Y6"/>
    <mergeCell ref="AB5:AB6"/>
    <mergeCell ref="AE3:AE6"/>
    <mergeCell ref="Q3:R4"/>
    <mergeCell ref="V5:V6"/>
    <mergeCell ref="AN5:AN6"/>
    <mergeCell ref="L5:L6"/>
    <mergeCell ref="M5:M6"/>
    <mergeCell ref="N5:N6"/>
    <mergeCell ref="O5:O6"/>
    <mergeCell ref="R5:R6"/>
    <mergeCell ref="S5:S6"/>
    <mergeCell ref="P5:P6"/>
    <mergeCell ref="Q5:Q6"/>
    <mergeCell ref="AG5:AG6"/>
    <mergeCell ref="AZ5:AZ6"/>
    <mergeCell ref="E3:F4"/>
    <mergeCell ref="G3:H4"/>
    <mergeCell ref="I3:J4"/>
    <mergeCell ref="K3:L4"/>
    <mergeCell ref="M3:N4"/>
    <mergeCell ref="O3:P4"/>
    <mergeCell ref="G5:G6"/>
    <mergeCell ref="H5:H6"/>
    <mergeCell ref="AM5:AM6"/>
    <mergeCell ref="AS5:AS6"/>
    <mergeCell ref="Z5:Z6"/>
    <mergeCell ref="AA5:AA6"/>
    <mergeCell ref="AH5:AH6"/>
    <mergeCell ref="AI5:AI6"/>
    <mergeCell ref="BF3:BF6"/>
    <mergeCell ref="BC4:BC6"/>
    <mergeCell ref="BD4:BD6"/>
    <mergeCell ref="AV5:AX5"/>
    <mergeCell ref="AY5:AY6"/>
    <mergeCell ref="AT5:AT6"/>
    <mergeCell ref="BA5:BA6"/>
    <mergeCell ref="BB5:BB6"/>
    <mergeCell ref="AG3:BB4"/>
    <mergeCell ref="BC3:BD3"/>
    <mergeCell ref="BE3:BE6"/>
    <mergeCell ref="AO5:AO6"/>
    <mergeCell ref="AP5:AP6"/>
    <mergeCell ref="AQ5:AQ6"/>
    <mergeCell ref="AR5:AR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0">
      <selection activeCell="B56" sqref="B56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1.625" style="2" customWidth="1"/>
    <col min="4" max="4" width="11.0039062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11.75390625" style="2" customWidth="1"/>
    <col min="11" max="11" width="10.375" style="2" customWidth="1"/>
    <col min="12" max="12" width="10.125" style="2" customWidth="1"/>
    <col min="13" max="13" width="8.875" style="2" customWidth="1"/>
    <col min="14" max="14" width="12.25390625" style="2" customWidth="1"/>
    <col min="15" max="15" width="10.75390625" style="2" customWidth="1"/>
    <col min="16" max="16" width="12.875" style="2" customWidth="1"/>
    <col min="17" max="16384" width="9.125" style="2" customWidth="1"/>
  </cols>
  <sheetData>
    <row r="1" ht="18.75">
      <c r="E1" s="28" t="s">
        <v>53</v>
      </c>
    </row>
    <row r="2" ht="18.75">
      <c r="E2" s="28" t="s">
        <v>54</v>
      </c>
    </row>
    <row r="6" spans="1:15" ht="12.75">
      <c r="A6" s="395" t="s">
        <v>77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</row>
    <row r="7" spans="1:15" ht="12.75">
      <c r="A7" s="394" t="s">
        <v>92</v>
      </c>
      <c r="B7" s="394"/>
      <c r="C7" s="394"/>
      <c r="D7" s="394"/>
      <c r="E7" s="394"/>
      <c r="F7" s="394"/>
      <c r="G7" s="394"/>
      <c r="H7" s="109"/>
      <c r="I7" s="109"/>
      <c r="J7" s="109"/>
      <c r="K7" s="109"/>
      <c r="L7" s="109"/>
      <c r="M7" s="109"/>
      <c r="N7" s="109"/>
      <c r="O7" s="109"/>
    </row>
    <row r="8" spans="1:15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5" ht="13.5" thickBot="1">
      <c r="A9" s="30" t="s">
        <v>55</v>
      </c>
      <c r="D9" s="4"/>
      <c r="E9" s="30">
        <v>8.65</v>
      </c>
    </row>
    <row r="10" spans="1:16" ht="12.75" customHeight="1">
      <c r="A10" s="396" t="s">
        <v>56</v>
      </c>
      <c r="B10" s="399" t="s">
        <v>0</v>
      </c>
      <c r="C10" s="402" t="s">
        <v>57</v>
      </c>
      <c r="D10" s="405" t="s">
        <v>2</v>
      </c>
      <c r="E10" s="408" t="s">
        <v>58</v>
      </c>
      <c r="F10" s="342"/>
      <c r="G10" s="420" t="s">
        <v>74</v>
      </c>
      <c r="H10" s="420"/>
      <c r="I10" s="411" t="s">
        <v>8</v>
      </c>
      <c r="J10" s="412"/>
      <c r="K10" s="412"/>
      <c r="L10" s="412"/>
      <c r="M10" s="412"/>
      <c r="N10" s="413"/>
      <c r="O10" s="417" t="s">
        <v>59</v>
      </c>
      <c r="P10" s="386" t="s">
        <v>10</v>
      </c>
    </row>
    <row r="11" spans="1:16" ht="12.75">
      <c r="A11" s="397"/>
      <c r="B11" s="400"/>
      <c r="C11" s="403"/>
      <c r="D11" s="406"/>
      <c r="E11" s="409"/>
      <c r="F11" s="410"/>
      <c r="G11" s="421"/>
      <c r="H11" s="421"/>
      <c r="I11" s="414"/>
      <c r="J11" s="415"/>
      <c r="K11" s="415"/>
      <c r="L11" s="415"/>
      <c r="M11" s="415"/>
      <c r="N11" s="416"/>
      <c r="O11" s="418"/>
      <c r="P11" s="387"/>
    </row>
    <row r="12" spans="1:16" ht="26.25" customHeight="1">
      <c r="A12" s="397"/>
      <c r="B12" s="400"/>
      <c r="C12" s="403"/>
      <c r="D12" s="406"/>
      <c r="E12" s="389" t="s">
        <v>60</v>
      </c>
      <c r="F12" s="347"/>
      <c r="G12" s="32" t="s">
        <v>61</v>
      </c>
      <c r="H12" s="390" t="s">
        <v>5</v>
      </c>
      <c r="I12" s="392" t="s">
        <v>62</v>
      </c>
      <c r="J12" s="381" t="s">
        <v>30</v>
      </c>
      <c r="K12" s="381" t="s">
        <v>63</v>
      </c>
      <c r="L12" s="381" t="s">
        <v>35</v>
      </c>
      <c r="M12" s="381" t="s">
        <v>64</v>
      </c>
      <c r="N12" s="379" t="s">
        <v>37</v>
      </c>
      <c r="O12" s="418"/>
      <c r="P12" s="387"/>
    </row>
    <row r="13" spans="1:16" ht="66.75" customHeight="1" thickBot="1">
      <c r="A13" s="398"/>
      <c r="B13" s="401"/>
      <c r="C13" s="404"/>
      <c r="D13" s="407"/>
      <c r="E13" s="33" t="s">
        <v>65</v>
      </c>
      <c r="F13" s="34" t="s">
        <v>19</v>
      </c>
      <c r="G13" s="35" t="s">
        <v>75</v>
      </c>
      <c r="H13" s="391"/>
      <c r="I13" s="393"/>
      <c r="J13" s="382"/>
      <c r="K13" s="382"/>
      <c r="L13" s="382"/>
      <c r="M13" s="382"/>
      <c r="N13" s="380"/>
      <c r="O13" s="419"/>
      <c r="P13" s="388"/>
    </row>
    <row r="14" spans="1:16" ht="13.5" thickBot="1">
      <c r="A14" s="36">
        <v>1</v>
      </c>
      <c r="B14" s="37">
        <v>2</v>
      </c>
      <c r="C14" s="38">
        <v>3</v>
      </c>
      <c r="D14" s="36">
        <v>4</v>
      </c>
      <c r="E14" s="37">
        <v>5</v>
      </c>
      <c r="F14" s="39">
        <v>6</v>
      </c>
      <c r="G14" s="40">
        <v>7</v>
      </c>
      <c r="H14" s="92">
        <v>8</v>
      </c>
      <c r="I14" s="36">
        <v>9</v>
      </c>
      <c r="J14" s="37">
        <v>10</v>
      </c>
      <c r="K14" s="37">
        <v>11</v>
      </c>
      <c r="L14" s="37">
        <v>12</v>
      </c>
      <c r="M14" s="37">
        <v>13</v>
      </c>
      <c r="N14" s="101">
        <v>14</v>
      </c>
      <c r="O14" s="180">
        <v>15</v>
      </c>
      <c r="P14" s="41">
        <v>16</v>
      </c>
    </row>
    <row r="15" spans="1:16" ht="12.75" hidden="1">
      <c r="A15" s="8" t="s">
        <v>38</v>
      </c>
      <c r="B15" s="9"/>
      <c r="C15" s="31"/>
      <c r="D15" s="8"/>
      <c r="E15" s="9"/>
      <c r="F15" s="11"/>
      <c r="G15" s="42"/>
      <c r="H15" s="93"/>
      <c r="I15" s="8"/>
      <c r="J15" s="9"/>
      <c r="K15" s="9"/>
      <c r="L15" s="9"/>
      <c r="M15" s="9"/>
      <c r="N15" s="102"/>
      <c r="O15" s="181"/>
      <c r="P15" s="43"/>
    </row>
    <row r="16" spans="1:18" ht="12.75" hidden="1">
      <c r="A16" s="13" t="s">
        <v>39</v>
      </c>
      <c r="B16" s="14">
        <f>Лист1!B9</f>
        <v>4342.4</v>
      </c>
      <c r="C16" s="44">
        <f>Лист1!C9</f>
        <v>37561.759999999995</v>
      </c>
      <c r="D16" s="45">
        <f>Лист1!D9</f>
        <v>9047.8767488</v>
      </c>
      <c r="E16" s="15">
        <f>Лист1!S9</f>
        <v>24781.98</v>
      </c>
      <c r="F16" s="17">
        <f>Лист1!T9</f>
        <v>6906.17</v>
      </c>
      <c r="G16" s="46">
        <f>Лист1!AB9</f>
        <v>650.18</v>
      </c>
      <c r="H16" s="99">
        <f>Лист1!AC9</f>
        <v>16604.2267488</v>
      </c>
      <c r="I16" s="47">
        <f>Лист1!AG9</f>
        <v>2605.4399999999996</v>
      </c>
      <c r="J16" s="15">
        <f>Лист1!AI9+Лист1!AJ9</f>
        <v>4364.6386575999995</v>
      </c>
      <c r="K16" s="15">
        <f>Лист1!AH9+Лист1!AK9+Лист1!AL9+Лист1!AM9+Лист1!AN9+Лист1!AO9+Лист1!AP9+Лист1!AQ9+Лист1!AR9</f>
        <v>15326.036597439997</v>
      </c>
      <c r="L16" s="16">
        <f>Лист1!AS9+Лист1!AT9+Лист1!AU9</f>
        <v>15270.745799999999</v>
      </c>
      <c r="M16" s="16">
        <f>Лист1!AX9</f>
        <v>0</v>
      </c>
      <c r="N16" s="105">
        <f>Лист1!BB9</f>
        <v>37566.86105504</v>
      </c>
      <c r="O16" s="182">
        <f>Лист1!BE9</f>
        <v>-20962.634306239997</v>
      </c>
      <c r="P16" s="48">
        <f>Лист1!BF9</f>
        <v>-24131.8</v>
      </c>
      <c r="Q16" s="1"/>
      <c r="R16" s="1"/>
    </row>
    <row r="17" spans="1:18" ht="12.75" hidden="1">
      <c r="A17" s="13" t="s">
        <v>40</v>
      </c>
      <c r="B17" s="14">
        <f>Лист1!B10</f>
        <v>4342.4</v>
      </c>
      <c r="C17" s="44">
        <f>Лист1!C10</f>
        <v>37561.759999999995</v>
      </c>
      <c r="D17" s="45">
        <f>Лист1!D10</f>
        <v>9047.8767488</v>
      </c>
      <c r="E17" s="15">
        <f>Лист1!S10</f>
        <v>23775.36</v>
      </c>
      <c r="F17" s="17">
        <f>Лист1!T10</f>
        <v>6802.69</v>
      </c>
      <c r="G17" s="46">
        <f>Лист1!AB10</f>
        <v>19911.14</v>
      </c>
      <c r="H17" s="99">
        <f>Лист1!AC10</f>
        <v>35761.7067488</v>
      </c>
      <c r="I17" s="47">
        <f>Лист1!AG10</f>
        <v>2605.4399999999996</v>
      </c>
      <c r="J17" s="15">
        <f>Лист1!AI10+Лист1!AJ10</f>
        <v>4364.6386575999995</v>
      </c>
      <c r="K17" s="15">
        <f>Лист1!AH10+Лист1!AK10+Лист1!AL10+Лист1!AM10+Лист1!AN10+Лист1!AO10+Лист1!AP10+Лист1!AQ10+Лист1!AR10</f>
        <v>15279.781352639997</v>
      </c>
      <c r="L17" s="16">
        <f>Лист1!AS10+Лист1!AT10+Лист1!AU10</f>
        <v>2277.4</v>
      </c>
      <c r="M17" s="16">
        <f>Лист1!AX10</f>
        <v>0</v>
      </c>
      <c r="N17" s="105">
        <f>Лист1!BB10</f>
        <v>24527.26001024</v>
      </c>
      <c r="O17" s="182">
        <f>Лист1!BE10</f>
        <v>11234.446738560004</v>
      </c>
      <c r="P17" s="48">
        <f>Лист1!BF10</f>
        <v>-3864.220000000001</v>
      </c>
      <c r="Q17" s="1"/>
      <c r="R17" s="1"/>
    </row>
    <row r="18" spans="1:18" ht="13.5" hidden="1" thickBot="1">
      <c r="A18" s="49" t="s">
        <v>41</v>
      </c>
      <c r="B18" s="14">
        <f>Лист1!B11</f>
        <v>4342.4</v>
      </c>
      <c r="C18" s="44">
        <f>Лист1!C11</f>
        <v>37561.759999999995</v>
      </c>
      <c r="D18" s="45">
        <f>Лист1!D11</f>
        <v>9027.969016</v>
      </c>
      <c r="E18" s="15">
        <f>Лист1!S11</f>
        <v>24083.28</v>
      </c>
      <c r="F18" s="17">
        <f>Лист1!T11</f>
        <v>6822.3099999999995</v>
      </c>
      <c r="G18" s="46">
        <f>Лист1!AB11</f>
        <v>26685.079999999998</v>
      </c>
      <c r="H18" s="99">
        <f>Лист1!AC11</f>
        <v>42535.359015999995</v>
      </c>
      <c r="I18" s="47">
        <f>Лист1!AG11</f>
        <v>2605.4399999999996</v>
      </c>
      <c r="J18" s="15">
        <f>Лист1!AI11+Лист1!AJ11</f>
        <v>4351.94285824</v>
      </c>
      <c r="K18" s="15">
        <f>Лист1!AH11+Лист1!AK11+Лист1!AL11+Лист1!AM11+Лист1!AN11+Лист1!AO11+Лист1!AP11+Лист1!AQ11+Лист1!AR11</f>
        <v>15255.370360351995</v>
      </c>
      <c r="L18" s="16">
        <f>Лист1!AS11+Лист1!AT11+Лист1!AU11</f>
        <v>9535.58</v>
      </c>
      <c r="M18" s="16">
        <f>Лист1!AX11</f>
        <v>0</v>
      </c>
      <c r="N18" s="105">
        <f>Лист1!BB11</f>
        <v>31748.333218592</v>
      </c>
      <c r="O18" s="182">
        <f>Лист1!BE11</f>
        <v>10787.025797407994</v>
      </c>
      <c r="P18" s="48">
        <f>Лист1!BF11</f>
        <v>2601.7999999999993</v>
      </c>
      <c r="Q18" s="1"/>
      <c r="R18" s="1"/>
    </row>
    <row r="19" spans="1:18" s="23" customFormat="1" ht="13.5" hidden="1" thickBot="1">
      <c r="A19" s="50" t="s">
        <v>3</v>
      </c>
      <c r="B19" s="51"/>
      <c r="C19" s="52">
        <f>SUM(C16:C18)</f>
        <v>112685.27999999998</v>
      </c>
      <c r="D19" s="52">
        <f aca="true" t="shared" si="0" ref="D19:P19">SUM(D16:D18)</f>
        <v>27123.722513599998</v>
      </c>
      <c r="E19" s="52">
        <f t="shared" si="0"/>
        <v>72640.62</v>
      </c>
      <c r="F19" s="52">
        <f t="shared" si="0"/>
        <v>20531.17</v>
      </c>
      <c r="G19" s="52">
        <f t="shared" si="0"/>
        <v>47246.399999999994</v>
      </c>
      <c r="H19" s="52">
        <f t="shared" si="0"/>
        <v>94901.2925136</v>
      </c>
      <c r="I19" s="52">
        <f t="shared" si="0"/>
        <v>7816.319999999999</v>
      </c>
      <c r="J19" s="52">
        <f t="shared" si="0"/>
        <v>13081.220173439999</v>
      </c>
      <c r="K19" s="52">
        <f t="shared" si="0"/>
        <v>45861.18831043199</v>
      </c>
      <c r="L19" s="52">
        <f t="shared" si="0"/>
        <v>27083.7258</v>
      </c>
      <c r="M19" s="52">
        <f t="shared" si="0"/>
        <v>0</v>
      </c>
      <c r="N19" s="52">
        <f t="shared" si="0"/>
        <v>93842.454283872</v>
      </c>
      <c r="O19" s="52">
        <f t="shared" si="0"/>
        <v>1058.8382297280004</v>
      </c>
      <c r="P19" s="52">
        <f t="shared" si="0"/>
        <v>-25394.22</v>
      </c>
      <c r="Q19" s="57"/>
      <c r="R19" s="57"/>
    </row>
    <row r="20" spans="1:18" ht="12.75" hidden="1">
      <c r="A20" s="8" t="s">
        <v>42</v>
      </c>
      <c r="B20" s="72"/>
      <c r="C20" s="58"/>
      <c r="D20" s="59"/>
      <c r="E20" s="60"/>
      <c r="F20" s="61"/>
      <c r="G20" s="62"/>
      <c r="H20" s="100"/>
      <c r="I20" s="63"/>
      <c r="J20" s="60"/>
      <c r="K20" s="60"/>
      <c r="L20" s="73"/>
      <c r="M20" s="73"/>
      <c r="N20" s="106"/>
      <c r="O20" s="183"/>
      <c r="P20" s="74"/>
      <c r="Q20" s="1"/>
      <c r="R20" s="1"/>
    </row>
    <row r="21" spans="1:18" ht="12.75" hidden="1">
      <c r="A21" s="13" t="s">
        <v>43</v>
      </c>
      <c r="B21" s="14">
        <f>Лист1!B14</f>
        <v>4342.4</v>
      </c>
      <c r="C21" s="44">
        <f>Лист1!C14</f>
        <v>37561.759999999995</v>
      </c>
      <c r="D21" s="45">
        <f>Лист1!D14</f>
        <v>4695.219999999999</v>
      </c>
      <c r="E21" s="15">
        <f>Лист1!S14</f>
        <v>24393.9</v>
      </c>
      <c r="F21" s="17">
        <f>Лист1!T14</f>
        <v>6709.610000000001</v>
      </c>
      <c r="G21" s="46">
        <f>Лист1!AB14</f>
        <v>16893.3</v>
      </c>
      <c r="H21" s="99">
        <f>Лист1!AC14</f>
        <v>28298.129999999997</v>
      </c>
      <c r="I21" s="47">
        <f>Лист1!AG14</f>
        <v>2344.8959999999997</v>
      </c>
      <c r="J21" s="15">
        <f>Лист1!AI14+Лист1!AJ14</f>
        <v>3776.1317823999993</v>
      </c>
      <c r="K21" s="15">
        <f>Лист1!AH14+Лист1!AK14+Лист1!AL14+Лист1!AM14+Лист1!AN14+Лист1!AO14+Лист1!AP14+Лист1!AQ14+Лист1!AR14</f>
        <v>12968.402080191998</v>
      </c>
      <c r="L21" s="16">
        <f>Лист1!AS14+Лист1!AT14+Лист1!AU14</f>
        <v>24650.21</v>
      </c>
      <c r="M21" s="16">
        <f>Лист1!AX14</f>
        <v>0</v>
      </c>
      <c r="N21" s="105">
        <f>Лист1!BB14</f>
        <v>43739.63986259199</v>
      </c>
      <c r="O21" s="182">
        <f>Лист1!BE14</f>
        <v>-15441.509862591993</v>
      </c>
      <c r="P21" s="48">
        <f>Лист1!BF14</f>
        <v>-7500.600000000002</v>
      </c>
      <c r="Q21" s="1"/>
      <c r="R21" s="1"/>
    </row>
    <row r="22" spans="1:18" ht="12.75" hidden="1">
      <c r="A22" s="13" t="s">
        <v>44</v>
      </c>
      <c r="B22" s="14">
        <f>Лист1!B15</f>
        <v>4342.4</v>
      </c>
      <c r="C22" s="44">
        <f>Лист1!C15</f>
        <v>37561.759999999995</v>
      </c>
      <c r="D22" s="45">
        <f>Лист1!D15</f>
        <v>4695.219999999999</v>
      </c>
      <c r="E22" s="15">
        <f>Лист1!S15</f>
        <v>24183.120000000003</v>
      </c>
      <c r="F22" s="17">
        <f>Лист1!T15</f>
        <v>6844.89</v>
      </c>
      <c r="G22" s="46">
        <f>Лист1!AB15</f>
        <v>19200.95</v>
      </c>
      <c r="H22" s="99">
        <f>Лист1!AC15</f>
        <v>30741.06</v>
      </c>
      <c r="I22" s="47">
        <f>Лист1!AG15</f>
        <v>2344.8959999999997</v>
      </c>
      <c r="J22" s="15">
        <f>Лист1!AI15+Лист1!AJ15</f>
        <v>3776.1553823999993</v>
      </c>
      <c r="K22" s="15">
        <f>Лист1!AH15+Лист1!AK15+Лист1!AL15+Лист1!AM15+Лист1!AN15+Лист1!AO15+Лист1!AP15+Лист1!AQ15+Лист1!AR15</f>
        <v>12987.123469311997</v>
      </c>
      <c r="L22" s="16">
        <f>Лист1!AS15+Лист1!AT15+Лист1!AU15</f>
        <v>5942.48</v>
      </c>
      <c r="M22" s="16">
        <f>Лист1!AX15</f>
        <v>9.2512</v>
      </c>
      <c r="N22" s="105">
        <f>Лист1!BB15</f>
        <v>25050.654851712</v>
      </c>
      <c r="O22" s="182">
        <f>Лист1!BE15</f>
        <v>5690.405148288002</v>
      </c>
      <c r="P22" s="48">
        <f>Лист1!BF15</f>
        <v>-4982.170000000002</v>
      </c>
      <c r="Q22" s="1"/>
      <c r="R22" s="1"/>
    </row>
    <row r="23" spans="1:18" ht="12.75" hidden="1">
      <c r="A23" s="13" t="s">
        <v>45</v>
      </c>
      <c r="B23" s="14">
        <f>Лист1!B16</f>
        <v>4342.44</v>
      </c>
      <c r="C23" s="44">
        <f>Лист1!C16</f>
        <v>37562.106</v>
      </c>
      <c r="D23" s="45">
        <f>Лист1!D16</f>
        <v>4695.26325</v>
      </c>
      <c r="E23" s="15">
        <f>Лист1!S16</f>
        <v>22823.38</v>
      </c>
      <c r="F23" s="17">
        <f>Лист1!T16</f>
        <v>7571.4800000000005</v>
      </c>
      <c r="G23" s="46">
        <f>Лист1!AB16</f>
        <v>26088.500000000004</v>
      </c>
      <c r="H23" s="99">
        <f>Лист1!AC16</f>
        <v>38355.24325</v>
      </c>
      <c r="I23" s="47">
        <f>Лист1!AG16</f>
        <v>2344.9175999999998</v>
      </c>
      <c r="J23" s="15">
        <f>Лист1!AI16+Лист1!AJ16</f>
        <v>3778.3679001</v>
      </c>
      <c r="K23" s="15">
        <f>Лист1!AH16+Лист1!AK16+Лист1!AL16+Лист1!AM16+Лист1!AN16+Лист1!AO16+Лист1!AP16+Лист1!AQ16+Лист1!AR16</f>
        <v>21175.6240334312</v>
      </c>
      <c r="L23" s="16">
        <f>Лист1!AS16+Лист1!AT16+Лист1!AU16</f>
        <v>23123.28</v>
      </c>
      <c r="M23" s="16">
        <f>Лист1!AX16</f>
        <v>18.5024</v>
      </c>
      <c r="N23" s="105">
        <f>Лист1!BB16</f>
        <v>50422.1895335312</v>
      </c>
      <c r="O23" s="182">
        <f>Лист1!BE16</f>
        <v>-12066.9462835312</v>
      </c>
      <c r="P23" s="48">
        <f>Лист1!BF16</f>
        <v>3265.1200000000026</v>
      </c>
      <c r="Q23" s="1"/>
      <c r="R23" s="1"/>
    </row>
    <row r="24" spans="1:18" ht="12.75" hidden="1">
      <c r="A24" s="13" t="s">
        <v>46</v>
      </c>
      <c r="B24" s="14">
        <f>Лист1!B17</f>
        <v>4342.44</v>
      </c>
      <c r="C24" s="44">
        <f>Лист1!C17</f>
        <v>37562.106</v>
      </c>
      <c r="D24" s="45">
        <f>Лист1!D17</f>
        <v>4695.26325</v>
      </c>
      <c r="E24" s="15">
        <f>Лист1!S17</f>
        <v>24223.18</v>
      </c>
      <c r="F24" s="17">
        <f>Лист1!T17</f>
        <v>6863.38</v>
      </c>
      <c r="G24" s="46">
        <f>Лист1!AB17</f>
        <v>24257</v>
      </c>
      <c r="H24" s="99">
        <f>Лист1!AC17</f>
        <v>35815.64325</v>
      </c>
      <c r="I24" s="47">
        <f>Лист1!AG17</f>
        <v>2344.9175999999998</v>
      </c>
      <c r="J24" s="15">
        <f>Лист1!AI17+Лист1!AJ17</f>
        <v>3891.1745036879997</v>
      </c>
      <c r="K24" s="15">
        <f>Лист1!AH17+Лист1!AK17+Лист1!AL17+Лист1!AM17+Лист1!AN17+Лист1!AO17+Лист1!AP17+Лист1!AQ17+Лист1!AR17</f>
        <v>33995.4834805984</v>
      </c>
      <c r="L24" s="16">
        <f>Лист1!AS17+Лист1!AT17+Лист1!AU17</f>
        <v>2330.3466</v>
      </c>
      <c r="M24" s="16">
        <f>Лист1!AX17</f>
        <v>140.08960000000002</v>
      </c>
      <c r="N24" s="105">
        <f>Лист1!BB17</f>
        <v>42729.765384286395</v>
      </c>
      <c r="O24" s="182">
        <f>Лист1!BE17</f>
        <v>-6914.122134286394</v>
      </c>
      <c r="P24" s="48">
        <f>Лист1!BF17</f>
        <v>33.81999999999971</v>
      </c>
      <c r="Q24" s="1"/>
      <c r="R24" s="1"/>
    </row>
    <row r="25" spans="1:18" ht="12.75" hidden="1">
      <c r="A25" s="13" t="s">
        <v>47</v>
      </c>
      <c r="B25" s="14">
        <f>Лист1!B18</f>
        <v>4342.4</v>
      </c>
      <c r="C25" s="44">
        <f>Лист1!C18</f>
        <v>37561.759999999995</v>
      </c>
      <c r="D25" s="45">
        <f>Лист1!D18</f>
        <v>3694.46</v>
      </c>
      <c r="E25" s="15">
        <f>Лист1!S18</f>
        <v>26208.96</v>
      </c>
      <c r="F25" s="17">
        <f>Лист1!T18</f>
        <v>7658.34</v>
      </c>
      <c r="G25" s="46">
        <f>Лист1!AB18</f>
        <v>23623.879999999997</v>
      </c>
      <c r="H25" s="99">
        <f>Лист1!AC18</f>
        <v>34976.67999999999</v>
      </c>
      <c r="I25" s="47">
        <f>Лист1!AG18</f>
        <v>2605.4399999999996</v>
      </c>
      <c r="J25" s="15">
        <f>Лист1!AI18+Лист1!AJ18</f>
        <v>4355.427199999999</v>
      </c>
      <c r="K25" s="15">
        <f>Лист1!AH18+Лист1!AK18+Лист1!AL18+Лист1!AM18+Лист1!AN18+Лист1!AO18+Лист1!AP18+Лист1!AQ18+Лист1!AR18</f>
        <v>19917.026479999997</v>
      </c>
      <c r="L25" s="16">
        <f>Лист1!AS18+Лист1!AT18+Лист1!AU18</f>
        <v>25606.790599999997</v>
      </c>
      <c r="M25" s="16">
        <f>Лист1!AX18</f>
        <v>19.823999999999998</v>
      </c>
      <c r="N25" s="105">
        <f>Лист1!BB18</f>
        <v>52504.508279999995</v>
      </c>
      <c r="O25" s="182">
        <f>Лист1!BE18</f>
        <v>-17527.82828</v>
      </c>
      <c r="P25" s="48">
        <f>Лист1!BF18</f>
        <v>-2585.0800000000017</v>
      </c>
      <c r="Q25" s="1"/>
      <c r="R25" s="1"/>
    </row>
    <row r="26" spans="1:18" ht="12.75" hidden="1">
      <c r="A26" s="13" t="s">
        <v>48</v>
      </c>
      <c r="B26" s="14">
        <f>Лист1!B19</f>
        <v>4342.4</v>
      </c>
      <c r="C26" s="44">
        <f>Лист1!C19</f>
        <v>37561.759999999995</v>
      </c>
      <c r="D26" s="45">
        <f>Лист1!D19</f>
        <v>4689.699999999998</v>
      </c>
      <c r="E26" s="15">
        <f>Лист1!S19</f>
        <v>25213.72</v>
      </c>
      <c r="F26" s="17">
        <f>Лист1!T19</f>
        <v>7658.34</v>
      </c>
      <c r="G26" s="46">
        <f>Лист1!AB19</f>
        <v>22633.68</v>
      </c>
      <c r="H26" s="99">
        <f>Лист1!AC19</f>
        <v>34981.72</v>
      </c>
      <c r="I26" s="47">
        <f>Лист1!AG19</f>
        <v>2605.4399999999996</v>
      </c>
      <c r="J26" s="15">
        <f>Лист1!AI19+Лист1!AJ19</f>
        <v>4355.427199999999</v>
      </c>
      <c r="K26" s="15">
        <f>Лист1!AH19+Лист1!AK19+Лист1!AL19+Лист1!AM19+Лист1!AN19+Лист1!AO19+Лист1!AP19+Лист1!AQ19+Лист1!AR19</f>
        <v>24248.076296</v>
      </c>
      <c r="L26" s="16">
        <f>Лист1!AS19+Лист1!AT19+Лист1!AU19</f>
        <v>6999.535800000001</v>
      </c>
      <c r="M26" s="16">
        <f>Лист1!AX19</f>
        <v>5758.2112</v>
      </c>
      <c r="N26" s="105">
        <f>Лист1!BB19</f>
        <v>43966.690495999996</v>
      </c>
      <c r="O26" s="182">
        <f>Лист1!BE19</f>
        <v>-8984.970495999994</v>
      </c>
      <c r="P26" s="48">
        <f>Лист1!BF19</f>
        <v>-2580.040000000001</v>
      </c>
      <c r="Q26" s="1"/>
      <c r="R26" s="1"/>
    </row>
    <row r="27" spans="1:18" ht="12.75" hidden="1">
      <c r="A27" s="13" t="s">
        <v>49</v>
      </c>
      <c r="B27" s="14">
        <f>Лист1!B20</f>
        <v>4338.84</v>
      </c>
      <c r="C27" s="44">
        <f>Лист1!C20</f>
        <v>37530.966</v>
      </c>
      <c r="D27" s="45">
        <f>Лист1!D20</f>
        <v>3482.766000000011</v>
      </c>
      <c r="E27" s="15">
        <f>Лист1!S20</f>
        <v>26639.510000000002</v>
      </c>
      <c r="F27" s="17">
        <f>Лист1!T20</f>
        <v>7408.6900000000005</v>
      </c>
      <c r="G27" s="46">
        <f>Лист1!AB20</f>
        <v>26204.010000000002</v>
      </c>
      <c r="H27" s="99">
        <f>Лист1!AC20</f>
        <v>37095.466000000015</v>
      </c>
      <c r="I27" s="47">
        <f>Лист1!AG20</f>
        <v>2603.304</v>
      </c>
      <c r="J27" s="15">
        <f>Лист1!AI20+Лист1!AJ20</f>
        <v>4289.624971764</v>
      </c>
      <c r="K27" s="15">
        <f>Лист1!AH20+Лист1!AK20+Лист1!AL20+Лист1!AM20+Лист1!AN20+Лист1!AO20+Лист1!AP20+Лист1!AQ20+Лист1!AR20</f>
        <v>14757.855293544</v>
      </c>
      <c r="L27" s="16">
        <f>Лист1!AS20+Лист1!AT20+Лист1!AU20</f>
        <v>1418.36</v>
      </c>
      <c r="M27" s="16">
        <f>Лист1!AX20</f>
        <v>233.9232</v>
      </c>
      <c r="N27" s="105">
        <f>Лист1!BB20</f>
        <v>23303.067465308002</v>
      </c>
      <c r="O27" s="182">
        <f>Лист1!BE20</f>
        <v>13792.398534692013</v>
      </c>
      <c r="P27" s="48">
        <f>Лист1!BF20</f>
        <v>-435.5</v>
      </c>
      <c r="Q27" s="1"/>
      <c r="R27" s="1"/>
    </row>
    <row r="28" spans="1:18" ht="12.75" hidden="1">
      <c r="A28" s="13" t="s">
        <v>50</v>
      </c>
      <c r="B28" s="14">
        <f>Лист1!B21</f>
        <v>4338.84</v>
      </c>
      <c r="C28" s="44">
        <f>Лист1!C21</f>
        <v>37530.966</v>
      </c>
      <c r="D28" s="45">
        <f>Лист1!D21</f>
        <v>3470.415999999995</v>
      </c>
      <c r="E28" s="15">
        <f>Лист1!S21</f>
        <v>26410.390000000003</v>
      </c>
      <c r="F28" s="17">
        <f>Лист1!T21</f>
        <v>7650.16</v>
      </c>
      <c r="G28" s="46">
        <f>Лист1!AB21</f>
        <v>25143.03</v>
      </c>
      <c r="H28" s="99">
        <f>Лист1!AC21</f>
        <v>36263.60599999999</v>
      </c>
      <c r="I28" s="47">
        <f>Лист1!AG21</f>
        <v>2603.304</v>
      </c>
      <c r="J28" s="15">
        <f>Лист1!AI21+Лист1!AJ21</f>
        <v>4287.7101548952</v>
      </c>
      <c r="K28" s="15">
        <f>Лист1!AH21+Лист1!AK21+Лист1!AL21+Лист1!AM21+Лист1!AN21+Лист1!AO21+Лист1!AP21+Лист1!AQ21+Лист1!AR21</f>
        <v>23735.19820312</v>
      </c>
      <c r="L28" s="16">
        <f>Лист1!AS21+Лист1!AT21+Лист1!AU21</f>
        <v>0</v>
      </c>
      <c r="M28" s="16">
        <f>Лист1!AX21</f>
        <v>63.436800000000005</v>
      </c>
      <c r="N28" s="105">
        <f>Лист1!BB21</f>
        <v>30689.6491580152</v>
      </c>
      <c r="O28" s="182">
        <f>Лист1!BE21</f>
        <v>5573.956841984793</v>
      </c>
      <c r="P28" s="48">
        <f>Лист1!BF21</f>
        <v>-1267.3600000000042</v>
      </c>
      <c r="Q28" s="1"/>
      <c r="R28" s="1"/>
    </row>
    <row r="29" spans="1:18" ht="12.75" hidden="1">
      <c r="A29" s="13" t="s">
        <v>51</v>
      </c>
      <c r="B29" s="14">
        <f>Лист1!B22</f>
        <v>4338.84</v>
      </c>
      <c r="C29" s="44">
        <f>Лист1!C22</f>
        <v>37530.966</v>
      </c>
      <c r="D29" s="45">
        <f>Лист1!D22</f>
        <v>3471.1459999999984</v>
      </c>
      <c r="E29" s="15">
        <f>Лист1!S22</f>
        <v>26409.67</v>
      </c>
      <c r="F29" s="17">
        <f>Лист1!T22</f>
        <v>7650.15</v>
      </c>
      <c r="G29" s="46">
        <f>Лист1!AB22</f>
        <v>24093.93</v>
      </c>
      <c r="H29" s="99">
        <f>Лист1!AC22</f>
        <v>35215.225999999995</v>
      </c>
      <c r="I29" s="47">
        <f>Лист1!AG22</f>
        <v>2603.304</v>
      </c>
      <c r="J29" s="15">
        <f>Лист1!AI22+Лист1!AJ22</f>
        <v>4286.9703392868005</v>
      </c>
      <c r="K29" s="15">
        <f>Лист1!AH22+Лист1!AK22+Лист1!AL22+Лист1!AM22+Лист1!AN22+Лист1!AO22+Лист1!AP22+Лист1!AQ22+Лист1!AR22</f>
        <v>14752.798609821359</v>
      </c>
      <c r="L29" s="16">
        <f>Лист1!AS22+Лист1!AT22+Лист1!AU22</f>
        <v>0</v>
      </c>
      <c r="M29" s="16">
        <f>Лист1!AX22</f>
        <v>145.376</v>
      </c>
      <c r="N29" s="105">
        <f>Лист1!BB22</f>
        <v>21788.448949108162</v>
      </c>
      <c r="O29" s="182">
        <f>Лист1!BE22</f>
        <v>13426.777050891833</v>
      </c>
      <c r="P29" s="48">
        <f>Лист1!BF22</f>
        <v>-2315.739999999998</v>
      </c>
      <c r="Q29" s="1"/>
      <c r="R29" s="1"/>
    </row>
    <row r="30" spans="1:18" ht="12.75" hidden="1">
      <c r="A30" s="13" t="s">
        <v>39</v>
      </c>
      <c r="B30" s="14">
        <f>Лист1!B23</f>
        <v>4338.84</v>
      </c>
      <c r="C30" s="44">
        <f>Лист1!C23</f>
        <v>37530.966</v>
      </c>
      <c r="D30" s="45">
        <f>Лист1!D23</f>
        <v>3480.486000000003</v>
      </c>
      <c r="E30" s="15">
        <f>Лист1!S23</f>
        <v>26386.57</v>
      </c>
      <c r="F30" s="17">
        <f>Лист1!T23</f>
        <v>7663.91</v>
      </c>
      <c r="G30" s="46">
        <f>Лист1!AB23</f>
        <v>31487.079999999998</v>
      </c>
      <c r="H30" s="99">
        <f>Лист1!AC23</f>
        <v>42631.476</v>
      </c>
      <c r="I30" s="47">
        <f>Лист1!AG23</f>
        <v>2603.304</v>
      </c>
      <c r="J30" s="15">
        <f>Лист1!AI23+Лист1!AJ23</f>
        <v>4336.4970264</v>
      </c>
      <c r="K30" s="15">
        <f>Лист1!AH23+Лист1!AK23+Лист1!AL23+Лист1!AM23+Лист1!AN23+Лист1!AO23+Лист1!AP23+Лист1!AQ23+Лист1!AR23</f>
        <v>14879.617895999998</v>
      </c>
      <c r="L30" s="16">
        <f>Лист1!AS23+Лист1!AT23+Лист1!AU23</f>
        <v>10426.952</v>
      </c>
      <c r="M30" s="16">
        <f>Лист1!AX23</f>
        <v>244.496</v>
      </c>
      <c r="N30" s="105">
        <f>Лист1!BB23</f>
        <v>79497.3469224</v>
      </c>
      <c r="O30" s="182">
        <f>Лист1!BE23</f>
        <v>-36865.8709224</v>
      </c>
      <c r="P30" s="48">
        <f>Лист1!BF23</f>
        <v>5100.509999999998</v>
      </c>
      <c r="Q30" s="1"/>
      <c r="R30" s="1"/>
    </row>
    <row r="31" spans="1:18" ht="12.75" hidden="1">
      <c r="A31" s="13" t="s">
        <v>40</v>
      </c>
      <c r="B31" s="14">
        <f>Лист1!B24</f>
        <v>4338.84</v>
      </c>
      <c r="C31" s="44">
        <f>Лист1!C24</f>
        <v>37530.966</v>
      </c>
      <c r="D31" s="45">
        <f>Лист1!D24</f>
        <v>3521.156</v>
      </c>
      <c r="E31" s="15">
        <f>Лист1!S24</f>
        <v>26339.109999999997</v>
      </c>
      <c r="F31" s="17">
        <f>Лист1!T24</f>
        <v>7670.700000000001</v>
      </c>
      <c r="G31" s="46">
        <f>Лист1!AB24</f>
        <v>26419.56</v>
      </c>
      <c r="H31" s="99">
        <f>Лист1!AC24</f>
        <v>37611.416</v>
      </c>
      <c r="I31" s="47">
        <f>Лист1!AG24</f>
        <v>2603.304</v>
      </c>
      <c r="J31" s="15">
        <f>Лист1!AI24+Лист1!AJ24</f>
        <v>4351.85652</v>
      </c>
      <c r="K31" s="15">
        <f>Лист1!AH24+Лист1!AK24+Лист1!AL24+Лист1!AM24+Лист1!AN24+Лист1!AO24+Лист1!AP24+Лист1!AQ24+Лист1!AR24</f>
        <v>14896.105488</v>
      </c>
      <c r="L31" s="16">
        <f>Лист1!AS24+Лист1!AT24+Лист1!AU24</f>
        <v>3963.62</v>
      </c>
      <c r="M31" s="16">
        <f>Лист1!AX24</f>
        <v>270.928</v>
      </c>
      <c r="N31" s="105">
        <f>Лист1!BB24</f>
        <v>73092.294008</v>
      </c>
      <c r="O31" s="182">
        <f>Лист1!BE24</f>
        <v>-35480.878008</v>
      </c>
      <c r="P31" s="48">
        <f>Лист1!BF24</f>
        <v>80.45000000000437</v>
      </c>
      <c r="Q31" s="1"/>
      <c r="R31" s="1"/>
    </row>
    <row r="32" spans="1:18" ht="13.5" hidden="1" thickBot="1">
      <c r="A32" s="49" t="s">
        <v>41</v>
      </c>
      <c r="B32" s="14">
        <f>Лист1!B25</f>
        <v>4338.84</v>
      </c>
      <c r="C32" s="44">
        <f>Лист1!C25</f>
        <v>37530.966</v>
      </c>
      <c r="D32" s="45">
        <f>Лист1!D25</f>
        <v>3878.6559999999936</v>
      </c>
      <c r="E32" s="15">
        <f>Лист1!S25</f>
        <v>26149.74</v>
      </c>
      <c r="F32" s="17">
        <f>Лист1!T25</f>
        <v>7502.57</v>
      </c>
      <c r="G32" s="46">
        <f>Лист1!AB25</f>
        <v>27328.54</v>
      </c>
      <c r="H32" s="99">
        <f>Лист1!AC25</f>
        <v>38709.765999999996</v>
      </c>
      <c r="I32" s="47">
        <f>Лист1!AG25</f>
        <v>2603.304</v>
      </c>
      <c r="J32" s="15">
        <f>Лист1!AI25+Лист1!AJ25</f>
        <v>4351.85652</v>
      </c>
      <c r="K32" s="15">
        <f>Лист1!AH25+Лист1!AK25+Лист1!AL25+Лист1!AM25+Лист1!AN25+Лист1!AO25+Лист1!AP25+Лист1!AQ25+Лист1!AR25</f>
        <v>14896.105488</v>
      </c>
      <c r="L32" s="16">
        <f>Лист1!AS25+Лист1!AT25+Лист1!AU25</f>
        <v>6456.96</v>
      </c>
      <c r="M32" s="16">
        <f>Лист1!AX25</f>
        <v>195.5968</v>
      </c>
      <c r="N32" s="105">
        <f>Лист1!BB25</f>
        <v>75510.302808</v>
      </c>
      <c r="O32" s="182">
        <f>Лист1!BE25</f>
        <v>-36800.536808</v>
      </c>
      <c r="P32" s="48">
        <f>Лист1!BF25</f>
        <v>1178.7999999999993</v>
      </c>
      <c r="Q32" s="1"/>
      <c r="R32" s="1"/>
    </row>
    <row r="33" spans="1:18" s="23" customFormat="1" ht="13.5" hidden="1" thickBot="1">
      <c r="A33" s="50" t="s">
        <v>3</v>
      </c>
      <c r="B33" s="51"/>
      <c r="C33" s="52">
        <f aca="true" t="shared" si="1" ref="C33:P33">SUM(C21:C32)</f>
        <v>450557.04800000007</v>
      </c>
      <c r="D33" s="53">
        <f t="shared" si="1"/>
        <v>48469.7525</v>
      </c>
      <c r="E33" s="52">
        <f t="shared" si="1"/>
        <v>305381.25</v>
      </c>
      <c r="F33" s="54">
        <f t="shared" si="1"/>
        <v>88852.22</v>
      </c>
      <c r="G33" s="55">
        <f t="shared" si="1"/>
        <v>293373.45999999996</v>
      </c>
      <c r="H33" s="94">
        <f t="shared" si="1"/>
        <v>430695.43249999994</v>
      </c>
      <c r="I33" s="53">
        <f t="shared" si="1"/>
        <v>30210.331199999997</v>
      </c>
      <c r="J33" s="52">
        <f t="shared" si="1"/>
        <v>49837.199500934</v>
      </c>
      <c r="K33" s="52">
        <f t="shared" si="1"/>
        <v>223209.41681801897</v>
      </c>
      <c r="L33" s="52">
        <f t="shared" si="1"/>
        <v>110918.535</v>
      </c>
      <c r="M33" s="52">
        <f t="shared" si="1"/>
        <v>7099.635200000001</v>
      </c>
      <c r="N33" s="103">
        <f t="shared" si="1"/>
        <v>562294.557718953</v>
      </c>
      <c r="O33" s="53">
        <f t="shared" si="1"/>
        <v>-131599.12521895295</v>
      </c>
      <c r="P33" s="56">
        <f t="shared" si="1"/>
        <v>-12007.790000000005</v>
      </c>
      <c r="Q33" s="57"/>
      <c r="R33" s="57"/>
    </row>
    <row r="34" spans="1:18" ht="13.5" thickBot="1">
      <c r="A34" s="96" t="s">
        <v>94</v>
      </c>
      <c r="B34" s="97"/>
      <c r="C34" s="97"/>
      <c r="D34" s="97"/>
      <c r="E34" s="97"/>
      <c r="F34" s="97"/>
      <c r="G34" s="97"/>
      <c r="H34" s="98"/>
      <c r="I34" s="97"/>
      <c r="J34" s="97"/>
      <c r="K34" s="97"/>
      <c r="L34" s="97"/>
      <c r="M34" s="97"/>
      <c r="N34" s="98"/>
      <c r="O34" s="97"/>
      <c r="P34" s="64"/>
      <c r="Q34" s="1"/>
      <c r="R34" s="1"/>
    </row>
    <row r="35" spans="1:18" s="23" customFormat="1" ht="13.5" thickBot="1">
      <c r="A35" s="65" t="s">
        <v>52</v>
      </c>
      <c r="B35" s="66"/>
      <c r="C35" s="67">
        <f>C19+C33</f>
        <v>563242.3280000001</v>
      </c>
      <c r="D35" s="68">
        <f aca="true" t="shared" si="2" ref="D35:P35">D19+D33</f>
        <v>75593.4750136</v>
      </c>
      <c r="E35" s="66">
        <f t="shared" si="2"/>
        <v>378021.87</v>
      </c>
      <c r="F35" s="67">
        <f t="shared" si="2"/>
        <v>109383.39</v>
      </c>
      <c r="G35" s="68">
        <f t="shared" si="2"/>
        <v>340619.86</v>
      </c>
      <c r="H35" s="95">
        <f t="shared" si="2"/>
        <v>525596.7250136</v>
      </c>
      <c r="I35" s="68">
        <f t="shared" si="2"/>
        <v>38026.65119999999</v>
      </c>
      <c r="J35" s="66">
        <f t="shared" si="2"/>
        <v>62918.419674374</v>
      </c>
      <c r="K35" s="66">
        <f t="shared" si="2"/>
        <v>269070.60512845096</v>
      </c>
      <c r="L35" s="66">
        <f t="shared" si="2"/>
        <v>138002.2608</v>
      </c>
      <c r="M35" s="66">
        <f t="shared" si="2"/>
        <v>7099.635200000001</v>
      </c>
      <c r="N35" s="104">
        <f t="shared" si="2"/>
        <v>656137.012002825</v>
      </c>
      <c r="O35" s="184">
        <f t="shared" si="2"/>
        <v>-130540.28698922494</v>
      </c>
      <c r="P35" s="69">
        <f t="shared" si="2"/>
        <v>-37402.01000000001</v>
      </c>
      <c r="Q35" s="70"/>
      <c r="R35" s="57"/>
    </row>
    <row r="36" spans="1:18" ht="12.75">
      <c r="A36" s="8" t="s">
        <v>91</v>
      </c>
      <c r="B36" s="72"/>
      <c r="C36" s="58"/>
      <c r="D36" s="59"/>
      <c r="E36" s="60"/>
      <c r="F36" s="61"/>
      <c r="G36" s="62"/>
      <c r="H36" s="100"/>
      <c r="I36" s="63"/>
      <c r="J36" s="60"/>
      <c r="K36" s="60"/>
      <c r="L36" s="73"/>
      <c r="M36" s="73"/>
      <c r="N36" s="106"/>
      <c r="O36" s="183"/>
      <c r="P36" s="74"/>
      <c r="Q36" s="1"/>
      <c r="R36" s="1"/>
    </row>
    <row r="37" spans="1:18" ht="12.75">
      <c r="A37" s="13" t="s">
        <v>43</v>
      </c>
      <c r="B37" s="14">
        <f>Лист1!B30</f>
        <v>4338.84</v>
      </c>
      <c r="C37" s="44">
        <f>Лист1!C30</f>
        <v>37530.966</v>
      </c>
      <c r="D37" s="45">
        <f>Лист1!D30</f>
        <v>3521.9360000000033</v>
      </c>
      <c r="E37" s="15">
        <f>Лист1!S30</f>
        <v>26519.719999999998</v>
      </c>
      <c r="F37" s="17">
        <f>Лист1!T30</f>
        <v>7489.31</v>
      </c>
      <c r="G37" s="46">
        <f>Лист1!AB30</f>
        <v>22557.86</v>
      </c>
      <c r="H37" s="99">
        <f>Лист1!AC30</f>
        <v>33569.106</v>
      </c>
      <c r="I37" s="47">
        <f>Лист1!AG30</f>
        <v>2603.304</v>
      </c>
      <c r="J37" s="15">
        <f>Лист1!AI30+Лист1!AJ30</f>
        <v>4338.84</v>
      </c>
      <c r="K37" s="15">
        <f>Лист1!AH30+Лист1!AK30+Лист1!AL30+Лист1!AM30+Лист1!AN30+Лист1!AO30+Лист1!AP30+Лист1!AQ30+Лист1!AR30</f>
        <v>14882.2212</v>
      </c>
      <c r="L37" s="16">
        <f>Лист1!AS30+Лист1!AT30+Лист1!AU30</f>
        <v>10675</v>
      </c>
      <c r="M37" s="16">
        <f>Лист1!AX30</f>
        <v>114.8</v>
      </c>
      <c r="N37" s="105">
        <f>Лист1!BB30</f>
        <v>32614.1652</v>
      </c>
      <c r="O37" s="182">
        <f>Лист1!BE30</f>
        <v>954.9408000000003</v>
      </c>
      <c r="P37" s="48">
        <f>Лист1!BF30</f>
        <v>-3961.859999999997</v>
      </c>
      <c r="Q37" s="1"/>
      <c r="R37" s="1"/>
    </row>
    <row r="38" spans="1:18" ht="12.75">
      <c r="A38" s="13" t="s">
        <v>44</v>
      </c>
      <c r="B38" s="14">
        <f>Лист1!B31</f>
        <v>4338.84</v>
      </c>
      <c r="C38" s="44">
        <f>Лист1!C31</f>
        <v>37530.966</v>
      </c>
      <c r="D38" s="45">
        <f>Лист1!D31</f>
        <v>3573.4959999999965</v>
      </c>
      <c r="E38" s="15">
        <f>Лист1!S31</f>
        <v>26678.76</v>
      </c>
      <c r="F38" s="17">
        <f>Лист1!T31</f>
        <v>7278.709999999999</v>
      </c>
      <c r="G38" s="46">
        <f>Лист1!AB31</f>
        <v>34441.17</v>
      </c>
      <c r="H38" s="99">
        <f>Лист1!AC31</f>
        <v>45293.37599999999</v>
      </c>
      <c r="I38" s="47">
        <f>Лист1!AG31</f>
        <v>2603.304</v>
      </c>
      <c r="J38" s="15">
        <f>Лист1!AI31+Лист1!AJ31</f>
        <v>4338.84</v>
      </c>
      <c r="K38" s="15">
        <f>Лист1!AH31+Лист1!AK31+Лист1!AL31+Лист1!AM31+Лист1!AN31+Лист1!AO31+Лист1!AP31+Лист1!AQ31+Лист1!AR31</f>
        <v>19677.4212</v>
      </c>
      <c r="L38" s="16">
        <f>Лист1!AS31+Лист1!AT31+Лист1!AU31</f>
        <v>542</v>
      </c>
      <c r="M38" s="16">
        <f>Лист1!AX31</f>
        <v>190.39999999999998</v>
      </c>
      <c r="N38" s="105">
        <f>Лист1!BB31</f>
        <v>27351.965200000002</v>
      </c>
      <c r="O38" s="182">
        <f>Лист1!BE31</f>
        <v>17941.410799999987</v>
      </c>
      <c r="P38" s="48">
        <f>Лист1!BF31</f>
        <v>7762.41</v>
      </c>
      <c r="Q38" s="1"/>
      <c r="R38" s="1"/>
    </row>
    <row r="39" spans="1:18" ht="12.75">
      <c r="A39" s="13" t="s">
        <v>45</v>
      </c>
      <c r="B39" s="14">
        <f>Лист1!B32</f>
        <v>4338.84</v>
      </c>
      <c r="C39" s="44">
        <f>Лист1!C32</f>
        <v>37530.966</v>
      </c>
      <c r="D39" s="45">
        <f>Лист1!D32</f>
        <v>3521.9460000000004</v>
      </c>
      <c r="E39" s="15">
        <f>Лист1!S32</f>
        <v>26577.93</v>
      </c>
      <c r="F39" s="17">
        <f>Лист1!T32</f>
        <v>7431.09</v>
      </c>
      <c r="G39" s="46">
        <f>Лист1!AB32</f>
        <v>28874.3</v>
      </c>
      <c r="H39" s="99">
        <f>Лист1!AC32</f>
        <v>39827.335999999996</v>
      </c>
      <c r="I39" s="47">
        <f>Лист1!AG32</f>
        <v>2603.304</v>
      </c>
      <c r="J39" s="15">
        <f>Лист1!AI32+Лист1!AJ32</f>
        <v>4338.84</v>
      </c>
      <c r="K39" s="15">
        <f>Лист1!AH32+Лист1!AK32+Лист1!AL32+Лист1!AM32+Лист1!AN32+Лист1!AO32+Лист1!AP32+Лист1!AQ32+Лист1!AR32</f>
        <v>14882.2212</v>
      </c>
      <c r="L39" s="16">
        <f>Лист1!AS32+Лист1!AT32+Лист1!AU32</f>
        <v>3707</v>
      </c>
      <c r="M39" s="16">
        <f>Лист1!AX32</f>
        <v>4.199999999999999</v>
      </c>
      <c r="N39" s="105">
        <f>Лист1!BB32</f>
        <v>25535.5652</v>
      </c>
      <c r="O39" s="182">
        <f>Лист1!BE32</f>
        <v>14291.770799999995</v>
      </c>
      <c r="P39" s="48">
        <f>Лист1!BF32</f>
        <v>2296.369999999999</v>
      </c>
      <c r="Q39" s="1"/>
      <c r="R39" s="1"/>
    </row>
    <row r="40" spans="1:18" ht="12.75">
      <c r="A40" s="13" t="s">
        <v>46</v>
      </c>
      <c r="B40" s="14">
        <f>Лист1!B33</f>
        <v>4338.84</v>
      </c>
      <c r="C40" s="44">
        <f>Лист1!C33</f>
        <v>37530.966</v>
      </c>
      <c r="D40" s="45">
        <f>Лист1!D33</f>
        <v>3521.9460000000004</v>
      </c>
      <c r="E40" s="15">
        <f>Лист1!S33</f>
        <v>26577.93</v>
      </c>
      <c r="F40" s="17">
        <f>Лист1!T33</f>
        <v>7431.09</v>
      </c>
      <c r="G40" s="46">
        <f>Лист1!AB33</f>
        <v>24257</v>
      </c>
      <c r="H40" s="99">
        <f>Лист1!AC33</f>
        <v>35210.036</v>
      </c>
      <c r="I40" s="47">
        <f>Лист1!AG33</f>
        <v>2603.304</v>
      </c>
      <c r="J40" s="15">
        <f>Лист1!AI33+Лист1!AJ33</f>
        <v>4338.84</v>
      </c>
      <c r="K40" s="15">
        <f>Лист1!AH33+Лист1!AK33+Лист1!AL33+Лист1!AM33+Лист1!AN33+Лист1!AO33+Лист1!AP33+Лист1!AQ33+Лист1!AR33</f>
        <v>23882.2212</v>
      </c>
      <c r="L40" s="16">
        <f>Лист1!AS33+Лист1!AT33+Лист1!AU33</f>
        <v>23465</v>
      </c>
      <c r="M40" s="16">
        <f>Лист1!AX33</f>
        <v>-7386.4</v>
      </c>
      <c r="N40" s="105">
        <f>Лист1!BB33</f>
        <v>46902.9652</v>
      </c>
      <c r="O40" s="182">
        <f>Лист1!BE33</f>
        <v>-11692.929199999999</v>
      </c>
      <c r="P40" s="48">
        <f>Лист1!BF33</f>
        <v>-2320.9300000000003</v>
      </c>
      <c r="Q40" s="1"/>
      <c r="R40" s="1"/>
    </row>
    <row r="41" spans="1:18" ht="12.75">
      <c r="A41" s="13" t="s">
        <v>47</v>
      </c>
      <c r="B41" s="14">
        <f>Лист1!B34</f>
        <v>4340.74</v>
      </c>
      <c r="C41" s="44">
        <f>Лист1!C34</f>
        <v>37547.401</v>
      </c>
      <c r="D41" s="45">
        <f>Лист1!D34</f>
        <v>3522.540999999996</v>
      </c>
      <c r="E41" s="15">
        <f>Лист1!S34</f>
        <v>26593.770000000004</v>
      </c>
      <c r="F41" s="17">
        <f>Лист1!T34</f>
        <v>7431.09</v>
      </c>
      <c r="G41" s="46">
        <f>Лист1!AB34</f>
        <v>17996.969999999998</v>
      </c>
      <c r="H41" s="99">
        <f>Лист1!AC34</f>
        <v>28950.600999999995</v>
      </c>
      <c r="I41" s="47">
        <f>Лист1!AG34</f>
        <v>2604.444</v>
      </c>
      <c r="J41" s="15">
        <f>Лист1!AI34+Лист1!AJ34</f>
        <v>4340.74</v>
      </c>
      <c r="K41" s="15">
        <f>Лист1!AH34+Лист1!AK34+Лист1!AL34+Лист1!AM34+Лист1!AN34+Лист1!AO34+Лист1!AP34+Лист1!AQ34+Лист1!AR34</f>
        <v>14888.7382</v>
      </c>
      <c r="L41" s="16">
        <f>Лист1!AS34+Лист1!AT34+Лист1!AU34</f>
        <v>13259</v>
      </c>
      <c r="M41" s="16">
        <f>Лист1!AX34</f>
        <v>7971.599999999999</v>
      </c>
      <c r="N41" s="105">
        <f>Лист1!BB34</f>
        <v>43064.5222</v>
      </c>
      <c r="O41" s="182">
        <f>Лист1!BE34</f>
        <v>-14113.921200000004</v>
      </c>
      <c r="P41" s="48">
        <f>Лист1!BF34</f>
        <v>-8596.800000000007</v>
      </c>
      <c r="Q41" s="1"/>
      <c r="R41" s="1"/>
    </row>
    <row r="42" spans="1:18" ht="12.75">
      <c r="A42" s="13" t="s">
        <v>48</v>
      </c>
      <c r="B42" s="14">
        <f>Лист1!B35</f>
        <v>4340.74</v>
      </c>
      <c r="C42" s="44">
        <f>Лист1!C35</f>
        <v>37547.401</v>
      </c>
      <c r="D42" s="45">
        <f>Лист1!D35</f>
        <v>3518.8609999999962</v>
      </c>
      <c r="E42" s="15">
        <f>Лист1!S35</f>
        <v>26702.7</v>
      </c>
      <c r="F42" s="17">
        <f>Лист1!T35</f>
        <v>7325.839999999999</v>
      </c>
      <c r="G42" s="46">
        <f>Лист1!AB35</f>
        <v>27908.49</v>
      </c>
      <c r="H42" s="99">
        <f>Лист1!AC35</f>
        <v>38753.191</v>
      </c>
      <c r="I42" s="47">
        <f>Лист1!AG35</f>
        <v>2604.444</v>
      </c>
      <c r="J42" s="15">
        <f>Лист1!AI35+Лист1!AJ35</f>
        <v>4340.74</v>
      </c>
      <c r="K42" s="15">
        <f>Лист1!AH35+Лист1!AK35+Лист1!AL35+Лист1!AM35+Лист1!AN35+Лист1!AO35+Лист1!AP35+Лист1!AQ35+Лист1!AR35</f>
        <v>14888.7382</v>
      </c>
      <c r="L42" s="16">
        <f>Лист1!AS35+Лист1!AT35+Лист1!AU35</f>
        <v>1706</v>
      </c>
      <c r="M42" s="16">
        <f>Лист1!AX35</f>
        <v>548.8</v>
      </c>
      <c r="N42" s="105">
        <f>Лист1!BB35</f>
        <v>24088.7222</v>
      </c>
      <c r="O42" s="182">
        <f>Лист1!BE35</f>
        <v>14664.468799999999</v>
      </c>
      <c r="P42" s="48">
        <f>Лист1!BF35</f>
        <v>1205.7900000000009</v>
      </c>
      <c r="Q42" s="1"/>
      <c r="R42" s="1"/>
    </row>
    <row r="43" spans="1:18" ht="12.75">
      <c r="A43" s="13" t="s">
        <v>49</v>
      </c>
      <c r="B43" s="14">
        <f>Лист1!B36</f>
        <v>4340.74</v>
      </c>
      <c r="C43" s="44">
        <f>Лист1!C36</f>
        <v>37547.401</v>
      </c>
      <c r="D43" s="45">
        <f>Лист1!D36</f>
        <v>3448.2810000000013</v>
      </c>
      <c r="E43" s="15">
        <f>Лист1!S36</f>
        <v>34099.12</v>
      </c>
      <c r="F43" s="17">
        <f>Лист1!T36</f>
        <v>0</v>
      </c>
      <c r="G43" s="46">
        <f>Лист1!AB36</f>
        <v>24527.6</v>
      </c>
      <c r="H43" s="99">
        <f>Лист1!AC36</f>
        <v>27975.881</v>
      </c>
      <c r="I43" s="47">
        <f>Лист1!AG36</f>
        <v>2604.444</v>
      </c>
      <c r="J43" s="15">
        <f>Лист1!AI36+Лист1!AJ36</f>
        <v>4340.74</v>
      </c>
      <c r="K43" s="15">
        <f>Лист1!AH36+Лист1!AK36+Лист1!AL36+Лист1!AM36+Лист1!AN36+Лист1!AO36+Лист1!AP36+Лист1!AQ36+Лист1!AR36</f>
        <v>14888.7382</v>
      </c>
      <c r="L43" s="16">
        <f>Лист1!AS36+Лист1!AT36+Лист1!AU36</f>
        <v>8379.996</v>
      </c>
      <c r="M43" s="16">
        <f>Лист1!AX36</f>
        <v>369.59999999999997</v>
      </c>
      <c r="N43" s="105">
        <f>Лист1!BB36</f>
        <v>30583.5182</v>
      </c>
      <c r="O43" s="182">
        <f>Лист1!BE36</f>
        <v>-2607.6371999999974</v>
      </c>
      <c r="P43" s="48">
        <f>Лист1!BF36</f>
        <v>-9571.520000000004</v>
      </c>
      <c r="Q43" s="1"/>
      <c r="R43" s="1"/>
    </row>
    <row r="44" spans="1:18" ht="12.75">
      <c r="A44" s="13" t="s">
        <v>50</v>
      </c>
      <c r="B44" s="14">
        <f>Лист1!B37</f>
        <v>4340.74</v>
      </c>
      <c r="C44" s="44">
        <f>Лист1!C37</f>
        <v>37547.401</v>
      </c>
      <c r="D44" s="45">
        <f>Лист1!D37</f>
        <v>3395.881000000002</v>
      </c>
      <c r="E44" s="15">
        <f>Лист1!S37</f>
        <v>34151.52</v>
      </c>
      <c r="F44" s="17">
        <f>Лист1!T37</f>
        <v>0</v>
      </c>
      <c r="G44" s="46">
        <f>Лист1!AB37</f>
        <v>34373.69</v>
      </c>
      <c r="H44" s="99">
        <f>Лист1!AC37</f>
        <v>37769.571</v>
      </c>
      <c r="I44" s="47">
        <f>Лист1!AG37</f>
        <v>2604.444</v>
      </c>
      <c r="J44" s="15">
        <f>Лист1!AI37+Лист1!AJ37</f>
        <v>4340.74</v>
      </c>
      <c r="K44" s="15">
        <f>Лист1!AH37+Лист1!AK37+Лист1!AL37+Лист1!AM37+Лист1!AN37+Лист1!AO37+Лист1!AP37+Лист1!AQ37+Лист1!AR37</f>
        <v>14888.7382</v>
      </c>
      <c r="L44" s="16">
        <f>Лист1!AS37+Лист1!AT37+Лист1!AU37</f>
        <v>47.8</v>
      </c>
      <c r="M44" s="16">
        <f>Лист1!AX37</f>
        <v>219.79999999999998</v>
      </c>
      <c r="N44" s="105">
        <f>Лист1!BB37</f>
        <v>22101.5222</v>
      </c>
      <c r="O44" s="182">
        <f>Лист1!BE37</f>
        <v>15668.048800000004</v>
      </c>
      <c r="P44" s="48">
        <f>Лист1!BF37</f>
        <v>222.17000000000553</v>
      </c>
      <c r="Q44" s="1"/>
      <c r="R44" s="1"/>
    </row>
    <row r="45" spans="1:18" ht="12.75">
      <c r="A45" s="13" t="s">
        <v>51</v>
      </c>
      <c r="B45" s="14">
        <f>Лист1!B38</f>
        <v>4340.74</v>
      </c>
      <c r="C45" s="44">
        <f>Лист1!C38</f>
        <v>37547.401</v>
      </c>
      <c r="D45" s="45">
        <f>Лист1!D38</f>
        <v>3312.970999999996</v>
      </c>
      <c r="E45" s="15">
        <f>Лист1!S38</f>
        <v>34234.43000000001</v>
      </c>
      <c r="F45" s="17">
        <f>Лист1!T38</f>
        <v>0</v>
      </c>
      <c r="G45" s="46">
        <f>Лист1!AB38</f>
        <v>32633.09</v>
      </c>
      <c r="H45" s="99">
        <f>Лист1!AC38</f>
        <v>35946.060999999994</v>
      </c>
      <c r="I45" s="47">
        <f>Лист1!AG38</f>
        <v>2604.444</v>
      </c>
      <c r="J45" s="15">
        <f>Лист1!AI38+Лист1!AJ38</f>
        <v>4340.74</v>
      </c>
      <c r="K45" s="15">
        <f>Лист1!AH38+Лист1!AK38+Лист1!AL38+Лист1!AM38+Лист1!AN38+Лист1!AO38+Лист1!AP38+Лист1!AQ38+Лист1!AR38</f>
        <v>14888.7382</v>
      </c>
      <c r="L45" s="16">
        <f>Лист1!AS38+Лист1!AT38+Лист1!AU38</f>
        <v>12274</v>
      </c>
      <c r="M45" s="16">
        <f>Лист1!AX38</f>
        <v>237.99999999999997</v>
      </c>
      <c r="N45" s="105">
        <f>Лист1!BB38</f>
        <v>34345.9222</v>
      </c>
      <c r="O45" s="182">
        <f>Лист1!BE38</f>
        <v>1600.1387999999934</v>
      </c>
      <c r="P45" s="48">
        <f>Лист1!BF38</f>
        <v>-1601.3400000000074</v>
      </c>
      <c r="Q45" s="1"/>
      <c r="R45" s="1"/>
    </row>
    <row r="46" spans="1:18" ht="12.75">
      <c r="A46" s="13" t="s">
        <v>39</v>
      </c>
      <c r="B46" s="14">
        <f>Лист1!B39</f>
        <v>4340.74</v>
      </c>
      <c r="C46" s="44">
        <f>Лист1!C39</f>
        <v>37547.401</v>
      </c>
      <c r="D46" s="45">
        <f>Лист1!D39</f>
        <v>3384.8810000000008</v>
      </c>
      <c r="E46" s="15">
        <f>Лист1!S39</f>
        <v>34162.520000000004</v>
      </c>
      <c r="F46" s="17">
        <f>Лист1!T39</f>
        <v>0</v>
      </c>
      <c r="G46" s="46">
        <f>Лист1!AB39</f>
        <v>29140.530000000002</v>
      </c>
      <c r="H46" s="99">
        <f>Лист1!AC39</f>
        <v>32525.411000000004</v>
      </c>
      <c r="I46" s="47">
        <f>Лист1!AG39</f>
        <v>2604.444</v>
      </c>
      <c r="J46" s="15">
        <f>Лист1!AI39+Лист1!AJ39</f>
        <v>4340.74</v>
      </c>
      <c r="K46" s="15">
        <f>Лист1!AH39+Лист1!AK39+Лист1!AL39+Лист1!AM39+Лист1!AN39+Лист1!AO39+Лист1!AP39+Лист1!AQ39+Лист1!AR39</f>
        <v>14888.7382</v>
      </c>
      <c r="L46" s="16">
        <f>Лист1!AS39+Лист1!AT39+Лист1!AU39</f>
        <v>1378</v>
      </c>
      <c r="M46" s="16">
        <f>Лист1!AX39</f>
        <v>168</v>
      </c>
      <c r="N46" s="105">
        <f>Лист1!BB39</f>
        <v>23379.9222</v>
      </c>
      <c r="O46" s="182">
        <f>Лист1!BE39</f>
        <v>9220.488800000003</v>
      </c>
      <c r="P46" s="48">
        <f>Лист1!BF39</f>
        <v>-5021.990000000002</v>
      </c>
      <c r="Q46" s="1"/>
      <c r="R46" s="1"/>
    </row>
    <row r="47" spans="1:18" ht="12.75">
      <c r="A47" s="13" t="s">
        <v>40</v>
      </c>
      <c r="B47" s="14">
        <f>Лист1!B40</f>
        <v>4340.74</v>
      </c>
      <c r="C47" s="44">
        <f>Лист1!C40</f>
        <v>37547.401</v>
      </c>
      <c r="D47" s="45">
        <f>Лист1!D40</f>
        <v>3351.121000000001</v>
      </c>
      <c r="E47" s="15">
        <f>Лист1!S40</f>
        <v>34196.28</v>
      </c>
      <c r="F47" s="17">
        <f>Лист1!T40</f>
        <v>0</v>
      </c>
      <c r="G47" s="46">
        <f>Лист1!AB40</f>
        <v>31154.07</v>
      </c>
      <c r="H47" s="99">
        <f>Лист1!AC40</f>
        <v>34505.191</v>
      </c>
      <c r="I47" s="47">
        <f>Лист1!AG40</f>
        <v>2604.444</v>
      </c>
      <c r="J47" s="15">
        <f>Лист1!AI40+Лист1!AJ40</f>
        <v>4340.74</v>
      </c>
      <c r="K47" s="15">
        <f>Лист1!AH40+Лист1!AK40+Лист1!AL40+Лист1!AM40+Лист1!AN40+Лист1!AO40+Лист1!AP40+Лист1!AQ40+Лист1!AR40</f>
        <v>14888.7382</v>
      </c>
      <c r="L47" s="16">
        <f>Лист1!AS40+Лист1!AT40+Лист1!AU40</f>
        <v>13866</v>
      </c>
      <c r="M47" s="16">
        <f>Лист1!AX40</f>
        <v>280</v>
      </c>
      <c r="N47" s="105">
        <f>Лист1!BB40</f>
        <v>35979.9222</v>
      </c>
      <c r="O47" s="182">
        <f>Лист1!BE40</f>
        <v>-1399.731200000002</v>
      </c>
      <c r="P47" s="48">
        <f>Лист1!BF40</f>
        <v>-3042.209999999999</v>
      </c>
      <c r="Q47" s="1"/>
      <c r="R47" s="1"/>
    </row>
    <row r="48" spans="1:18" ht="13.5" thickBot="1">
      <c r="A48" s="49" t="s">
        <v>41</v>
      </c>
      <c r="B48" s="14">
        <f>Лист1!B41</f>
        <v>4340.74</v>
      </c>
      <c r="C48" s="44">
        <f>Лист1!C41</f>
        <v>37547.401</v>
      </c>
      <c r="D48" s="45">
        <f>Лист1!D41</f>
        <v>3364.821000000001</v>
      </c>
      <c r="E48" s="15">
        <f>Лист1!S41</f>
        <v>34182.58</v>
      </c>
      <c r="F48" s="17">
        <f>Лист1!T41</f>
        <v>0</v>
      </c>
      <c r="G48" s="46">
        <f>Лист1!AB41</f>
        <v>36832.28</v>
      </c>
      <c r="H48" s="99">
        <f>Лист1!AC41</f>
        <v>40197.101</v>
      </c>
      <c r="I48" s="47">
        <f>Лист1!AG41</f>
        <v>2604.444</v>
      </c>
      <c r="J48" s="15">
        <f>Лист1!AI41+Лист1!AJ41</f>
        <v>4340.74</v>
      </c>
      <c r="K48" s="15">
        <f>Лист1!AH41+Лист1!AK41+Лист1!AL41+Лист1!AM41+Лист1!AN41+Лист1!AO41+Лист1!AP41+Лист1!AQ41+Лист1!AR41</f>
        <v>14888.7382</v>
      </c>
      <c r="L48" s="16">
        <f>Лист1!AS41+Лист1!AT41+Лист1!AU41</f>
        <v>16280</v>
      </c>
      <c r="M48" s="16">
        <f>Лист1!AX41</f>
        <v>22656.920000000002</v>
      </c>
      <c r="N48" s="105">
        <f>Лист1!BB41</f>
        <v>60770.8422</v>
      </c>
      <c r="O48" s="182">
        <f>Лист1!BE41</f>
        <v>-20498.741199999997</v>
      </c>
      <c r="P48" s="48">
        <f>Лист1!BF41</f>
        <v>2649.699999999997</v>
      </c>
      <c r="Q48" s="1"/>
      <c r="R48" s="1"/>
    </row>
    <row r="49" spans="1:18" s="23" customFormat="1" ht="13.5" thickBot="1">
      <c r="A49" s="50" t="s">
        <v>3</v>
      </c>
      <c r="B49" s="51"/>
      <c r="C49" s="52">
        <f aca="true" t="shared" si="3" ref="C49:P49">SUM(C37:C48)</f>
        <v>450503.0720000001</v>
      </c>
      <c r="D49" s="53">
        <f t="shared" si="3"/>
        <v>41438.682</v>
      </c>
      <c r="E49" s="52">
        <f t="shared" si="3"/>
        <v>364677.26000000007</v>
      </c>
      <c r="F49" s="54">
        <f t="shared" si="3"/>
        <v>44387.13</v>
      </c>
      <c r="G49" s="55">
        <f t="shared" si="3"/>
        <v>344697.05000000005</v>
      </c>
      <c r="H49" s="94">
        <f t="shared" si="3"/>
        <v>430522.862</v>
      </c>
      <c r="I49" s="53">
        <f t="shared" si="3"/>
        <v>31248.767999999996</v>
      </c>
      <c r="J49" s="52">
        <f t="shared" si="3"/>
        <v>52081.279999999984</v>
      </c>
      <c r="K49" s="52">
        <f t="shared" si="3"/>
        <v>192433.99039999995</v>
      </c>
      <c r="L49" s="52">
        <f t="shared" si="3"/>
        <v>105579.796</v>
      </c>
      <c r="M49" s="52">
        <f t="shared" si="3"/>
        <v>25375.72</v>
      </c>
      <c r="N49" s="103">
        <f t="shared" si="3"/>
        <v>406719.5544000001</v>
      </c>
      <c r="O49" s="53">
        <f t="shared" si="3"/>
        <v>24028.30759999997</v>
      </c>
      <c r="P49" s="56">
        <f t="shared" si="3"/>
        <v>-19980.210000000014</v>
      </c>
      <c r="Q49" s="57"/>
      <c r="R49" s="57"/>
    </row>
    <row r="50" spans="1:18" ht="13.5" thickBot="1">
      <c r="A50" s="96" t="s">
        <v>66</v>
      </c>
      <c r="B50" s="97"/>
      <c r="C50" s="97"/>
      <c r="D50" s="97"/>
      <c r="E50" s="97"/>
      <c r="F50" s="97"/>
      <c r="G50" s="97"/>
      <c r="H50" s="98"/>
      <c r="I50" s="97"/>
      <c r="J50" s="97"/>
      <c r="K50" s="97"/>
      <c r="L50" s="97"/>
      <c r="M50" s="97"/>
      <c r="N50" s="98"/>
      <c r="O50" s="97"/>
      <c r="P50" s="64"/>
      <c r="Q50" s="1"/>
      <c r="R50" s="1"/>
    </row>
    <row r="51" spans="1:18" s="23" customFormat="1" ht="13.5" thickBot="1">
      <c r="A51" s="65" t="s">
        <v>52</v>
      </c>
      <c r="B51" s="66"/>
      <c r="C51" s="67">
        <f>C35+C49</f>
        <v>1013745.4000000001</v>
      </c>
      <c r="D51" s="68">
        <f aca="true" t="shared" si="4" ref="D51:P51">D35+D49</f>
        <v>117032.1570136</v>
      </c>
      <c r="E51" s="66">
        <f t="shared" si="4"/>
        <v>742699.1300000001</v>
      </c>
      <c r="F51" s="67">
        <f t="shared" si="4"/>
        <v>153770.52</v>
      </c>
      <c r="G51" s="68">
        <f t="shared" si="4"/>
        <v>685316.91</v>
      </c>
      <c r="H51" s="95">
        <f t="shared" si="4"/>
        <v>956119.5870135999</v>
      </c>
      <c r="I51" s="68">
        <f t="shared" si="4"/>
        <v>69275.41919999999</v>
      </c>
      <c r="J51" s="66">
        <f t="shared" si="4"/>
        <v>114999.69967437399</v>
      </c>
      <c r="K51" s="66">
        <f t="shared" si="4"/>
        <v>461504.5955284509</v>
      </c>
      <c r="L51" s="66">
        <f t="shared" si="4"/>
        <v>243582.0568</v>
      </c>
      <c r="M51" s="66">
        <f t="shared" si="4"/>
        <v>32475.3552</v>
      </c>
      <c r="N51" s="104">
        <f t="shared" si="4"/>
        <v>1062856.566402825</v>
      </c>
      <c r="O51" s="184">
        <f t="shared" si="4"/>
        <v>-106511.97938922497</v>
      </c>
      <c r="P51" s="69">
        <f t="shared" si="4"/>
        <v>-57382.22000000002</v>
      </c>
      <c r="Q51" s="70"/>
      <c r="R51" s="57"/>
    </row>
    <row r="53" spans="1:4" ht="12.75">
      <c r="A53" s="23" t="s">
        <v>67</v>
      </c>
      <c r="D53" s="2" t="s">
        <v>93</v>
      </c>
    </row>
    <row r="54" spans="1:4" ht="12.75">
      <c r="A54" s="25" t="s">
        <v>68</v>
      </c>
      <c r="B54" s="25" t="s">
        <v>69</v>
      </c>
      <c r="C54" s="383" t="s">
        <v>70</v>
      </c>
      <c r="D54" s="383"/>
    </row>
    <row r="55" spans="1:4" ht="12.75">
      <c r="A55" s="76">
        <v>282378.66</v>
      </c>
      <c r="B55" s="188">
        <v>106441</v>
      </c>
      <c r="C55" s="384">
        <f>A55-B55</f>
        <v>175937.65999999997</v>
      </c>
      <c r="D55" s="385"/>
    </row>
    <row r="56" ht="12.75">
      <c r="A56" s="71"/>
    </row>
    <row r="57" ht="12.75">
      <c r="A57" s="71"/>
    </row>
    <row r="58" spans="1:7" ht="12.75">
      <c r="A58" s="2" t="s">
        <v>71</v>
      </c>
      <c r="G58" s="2" t="s">
        <v>72</v>
      </c>
    </row>
    <row r="59" ht="12.75">
      <c r="A59" s="1"/>
    </row>
    <row r="60" ht="12.75">
      <c r="A60" s="1"/>
    </row>
    <row r="61" ht="12.75">
      <c r="A61" s="1" t="s">
        <v>95</v>
      </c>
    </row>
    <row r="62" ht="12.75">
      <c r="A62" s="2" t="s">
        <v>73</v>
      </c>
    </row>
  </sheetData>
  <sheetProtection/>
  <mergeCells count="21">
    <mergeCell ref="G10:H11"/>
    <mergeCell ref="L12:L13"/>
    <mergeCell ref="A7:G7"/>
    <mergeCell ref="A6:O6"/>
    <mergeCell ref="A10:A13"/>
    <mergeCell ref="B10:B13"/>
    <mergeCell ref="C10:C13"/>
    <mergeCell ref="D10:D13"/>
    <mergeCell ref="E10:F11"/>
    <mergeCell ref="I10:N11"/>
    <mergeCell ref="O10:O13"/>
    <mergeCell ref="N12:N13"/>
    <mergeCell ref="M12:M13"/>
    <mergeCell ref="C54:D54"/>
    <mergeCell ref="C55:D55"/>
    <mergeCell ref="P10:P13"/>
    <mergeCell ref="E12:F12"/>
    <mergeCell ref="H12:H13"/>
    <mergeCell ref="I12:I13"/>
    <mergeCell ref="J12:J13"/>
    <mergeCell ref="K12:K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40"/>
  <sheetViews>
    <sheetView zoomScalePageLayoutView="0" workbookViewId="0" topLeftCell="A1">
      <pane xSplit="2" ySplit="7" topLeftCell="AT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K11" sqref="AK11"/>
    </sheetView>
  </sheetViews>
  <sheetFormatPr defaultColWidth="9.00390625" defaultRowHeight="12.75"/>
  <cols>
    <col min="1" max="1" width="9.75390625" style="191" customWidth="1"/>
    <col min="2" max="2" width="9.125" style="191" customWidth="1"/>
    <col min="3" max="3" width="14.75390625" style="191" customWidth="1"/>
    <col min="4" max="4" width="10.375" style="191" customWidth="1"/>
    <col min="5" max="6" width="9.125" style="191" customWidth="1"/>
    <col min="7" max="7" width="10.25390625" style="191" customWidth="1"/>
    <col min="8" max="8" width="9.125" style="191" customWidth="1"/>
    <col min="9" max="9" width="9.875" style="191" customWidth="1"/>
    <col min="10" max="10" width="9.125" style="191" customWidth="1"/>
    <col min="11" max="11" width="10.375" style="191" customWidth="1"/>
    <col min="12" max="12" width="9.125" style="191" customWidth="1"/>
    <col min="13" max="13" width="10.125" style="191" bestFit="1" customWidth="1"/>
    <col min="14" max="14" width="9.125" style="191" customWidth="1"/>
    <col min="15" max="15" width="10.125" style="191" bestFit="1" customWidth="1"/>
    <col min="16" max="18" width="9.125" style="191" customWidth="1"/>
    <col min="19" max="19" width="10.125" style="191" bestFit="1" customWidth="1"/>
    <col min="20" max="20" width="10.125" style="191" customWidth="1"/>
    <col min="21" max="21" width="10.125" style="191" bestFit="1" customWidth="1"/>
    <col min="22" max="22" width="10.375" style="191" customWidth="1"/>
    <col min="23" max="23" width="10.625" style="191" customWidth="1"/>
    <col min="24" max="24" width="10.125" style="191" customWidth="1"/>
    <col min="25" max="28" width="10.125" style="191" bestFit="1" customWidth="1"/>
    <col min="29" max="30" width="11.375" style="191" customWidth="1"/>
    <col min="31" max="31" width="9.25390625" style="191" bestFit="1" customWidth="1"/>
    <col min="32" max="32" width="10.125" style="191" bestFit="1" customWidth="1"/>
    <col min="33" max="33" width="10.25390625" style="191" customWidth="1"/>
    <col min="34" max="35" width="9.25390625" style="191" bestFit="1" customWidth="1"/>
    <col min="36" max="36" width="13.375" style="191" customWidth="1"/>
    <col min="37" max="38" width="9.25390625" style="191" bestFit="1" customWidth="1"/>
    <col min="39" max="39" width="10.125" style="191" bestFit="1" customWidth="1"/>
    <col min="40" max="40" width="9.25390625" style="191" bestFit="1" customWidth="1"/>
    <col min="41" max="42" width="10.125" style="191" bestFit="1" customWidth="1"/>
    <col min="43" max="45" width="9.25390625" style="191" customWidth="1"/>
    <col min="46" max="46" width="10.125" style="191" bestFit="1" customWidth="1"/>
    <col min="47" max="47" width="11.625" style="191" customWidth="1"/>
    <col min="48" max="48" width="10.875" style="191" customWidth="1"/>
    <col min="49" max="49" width="10.625" style="191" customWidth="1"/>
    <col min="50" max="50" width="9.25390625" style="191" customWidth="1"/>
    <col min="51" max="51" width="10.625" style="191" customWidth="1"/>
    <col min="52" max="52" width="9.25390625" style="191" bestFit="1" customWidth="1"/>
    <col min="53" max="53" width="10.125" style="191" bestFit="1" customWidth="1"/>
    <col min="54" max="54" width="11.00390625" style="191" customWidth="1"/>
    <col min="55" max="56" width="11.625" style="191" customWidth="1"/>
    <col min="57" max="57" width="12.625" style="191" customWidth="1"/>
    <col min="58" max="58" width="14.00390625" style="191" customWidth="1"/>
    <col min="59" max="59" width="10.375" style="191" customWidth="1"/>
    <col min="60" max="16384" width="9.125" style="191" customWidth="1"/>
  </cols>
  <sheetData>
    <row r="1" spans="1:18" ht="21" customHeight="1">
      <c r="A1" s="369" t="s">
        <v>96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190"/>
      <c r="P1" s="190"/>
      <c r="Q1" s="190"/>
      <c r="R1" s="190"/>
    </row>
    <row r="2" spans="1:18" ht="13.5" thickBot="1">
      <c r="A2" s="190"/>
      <c r="B2" s="192"/>
      <c r="C2" s="193"/>
      <c r="D2" s="193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1:59" ht="29.25" customHeight="1" thickBot="1">
      <c r="A3" s="338" t="s">
        <v>97</v>
      </c>
      <c r="B3" s="371" t="s">
        <v>0</v>
      </c>
      <c r="C3" s="373" t="s">
        <v>1</v>
      </c>
      <c r="D3" s="375" t="s">
        <v>2</v>
      </c>
      <c r="E3" s="338" t="s">
        <v>98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2"/>
      <c r="S3" s="338"/>
      <c r="T3" s="345"/>
      <c r="U3" s="338" t="s">
        <v>3</v>
      </c>
      <c r="V3" s="345"/>
      <c r="W3" s="360" t="s">
        <v>4</v>
      </c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422"/>
      <c r="AJ3" s="424" t="s">
        <v>80</v>
      </c>
      <c r="AK3" s="312" t="s">
        <v>8</v>
      </c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4"/>
      <c r="BF3" s="320" t="s">
        <v>9</v>
      </c>
      <c r="BG3" s="430" t="s">
        <v>10</v>
      </c>
    </row>
    <row r="4" spans="1:59" ht="51.75" customHeight="1" hidden="1" thickBot="1">
      <c r="A4" s="370"/>
      <c r="B4" s="372"/>
      <c r="C4" s="374"/>
      <c r="D4" s="376"/>
      <c r="E4" s="370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7"/>
      <c r="S4" s="343"/>
      <c r="T4" s="359"/>
      <c r="U4" s="343"/>
      <c r="V4" s="359"/>
      <c r="W4" s="362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423"/>
      <c r="AJ4" s="425"/>
      <c r="AK4" s="315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7"/>
      <c r="BF4" s="321"/>
      <c r="BG4" s="431"/>
    </row>
    <row r="5" spans="1:59" ht="19.5" customHeight="1">
      <c r="A5" s="370"/>
      <c r="B5" s="372"/>
      <c r="C5" s="374"/>
      <c r="D5" s="376"/>
      <c r="E5" s="433" t="s">
        <v>11</v>
      </c>
      <c r="F5" s="434"/>
      <c r="G5" s="433" t="s">
        <v>99</v>
      </c>
      <c r="H5" s="434"/>
      <c r="I5" s="433" t="s">
        <v>12</v>
      </c>
      <c r="J5" s="434"/>
      <c r="K5" s="433" t="s">
        <v>14</v>
      </c>
      <c r="L5" s="434"/>
      <c r="M5" s="433" t="s">
        <v>13</v>
      </c>
      <c r="N5" s="434"/>
      <c r="O5" s="437" t="s">
        <v>15</v>
      </c>
      <c r="P5" s="437"/>
      <c r="Q5" s="433" t="s">
        <v>100</v>
      </c>
      <c r="R5" s="434"/>
      <c r="S5" s="437" t="s">
        <v>101</v>
      </c>
      <c r="T5" s="434"/>
      <c r="U5" s="348" t="s">
        <v>18</v>
      </c>
      <c r="V5" s="367" t="s">
        <v>19</v>
      </c>
      <c r="W5" s="428" t="s">
        <v>20</v>
      </c>
      <c r="X5" s="428" t="s">
        <v>102</v>
      </c>
      <c r="Y5" s="428" t="s">
        <v>21</v>
      </c>
      <c r="Z5" s="428" t="s">
        <v>23</v>
      </c>
      <c r="AA5" s="428" t="s">
        <v>22</v>
      </c>
      <c r="AB5" s="428" t="s">
        <v>24</v>
      </c>
      <c r="AC5" s="428" t="s">
        <v>25</v>
      </c>
      <c r="AD5" s="441" t="s">
        <v>26</v>
      </c>
      <c r="AE5" s="441" t="s">
        <v>103</v>
      </c>
      <c r="AF5" s="443" t="s">
        <v>27</v>
      </c>
      <c r="AG5" s="445" t="s">
        <v>79</v>
      </c>
      <c r="AH5" s="447" t="s">
        <v>6</v>
      </c>
      <c r="AI5" s="449" t="s">
        <v>7</v>
      </c>
      <c r="AJ5" s="425"/>
      <c r="AK5" s="451" t="s">
        <v>104</v>
      </c>
      <c r="AL5" s="452" t="s">
        <v>105</v>
      </c>
      <c r="AM5" s="452" t="s">
        <v>106</v>
      </c>
      <c r="AN5" s="310" t="s">
        <v>107</v>
      </c>
      <c r="AO5" s="452" t="s">
        <v>108</v>
      </c>
      <c r="AP5" s="310" t="s">
        <v>109</v>
      </c>
      <c r="AQ5" s="310" t="s">
        <v>110</v>
      </c>
      <c r="AR5" s="310" t="s">
        <v>111</v>
      </c>
      <c r="AS5" s="310" t="s">
        <v>112</v>
      </c>
      <c r="AT5" s="310" t="s">
        <v>34</v>
      </c>
      <c r="AU5" s="453" t="s">
        <v>113</v>
      </c>
      <c r="AV5" s="326" t="s">
        <v>114</v>
      </c>
      <c r="AW5" s="453" t="s">
        <v>115</v>
      </c>
      <c r="AX5" s="454" t="s">
        <v>116</v>
      </c>
      <c r="AY5" s="194"/>
      <c r="AZ5" s="336" t="s">
        <v>17</v>
      </c>
      <c r="BA5" s="310" t="s">
        <v>36</v>
      </c>
      <c r="BB5" s="310" t="s">
        <v>31</v>
      </c>
      <c r="BC5" s="456" t="s">
        <v>37</v>
      </c>
      <c r="BD5" s="332" t="s">
        <v>82</v>
      </c>
      <c r="BE5" s="310" t="s">
        <v>83</v>
      </c>
      <c r="BF5" s="321"/>
      <c r="BG5" s="431"/>
    </row>
    <row r="6" spans="1:59" ht="56.25" customHeight="1" thickBot="1">
      <c r="A6" s="370"/>
      <c r="B6" s="372"/>
      <c r="C6" s="374"/>
      <c r="D6" s="376"/>
      <c r="E6" s="435"/>
      <c r="F6" s="436"/>
      <c r="G6" s="435"/>
      <c r="H6" s="436"/>
      <c r="I6" s="435"/>
      <c r="J6" s="436"/>
      <c r="K6" s="435"/>
      <c r="L6" s="436"/>
      <c r="M6" s="435"/>
      <c r="N6" s="436"/>
      <c r="O6" s="438"/>
      <c r="P6" s="438"/>
      <c r="Q6" s="435"/>
      <c r="R6" s="436"/>
      <c r="S6" s="439"/>
      <c r="T6" s="436"/>
      <c r="U6" s="440"/>
      <c r="V6" s="427"/>
      <c r="W6" s="429"/>
      <c r="X6" s="429"/>
      <c r="Y6" s="429"/>
      <c r="Z6" s="429"/>
      <c r="AA6" s="429"/>
      <c r="AB6" s="429"/>
      <c r="AC6" s="429"/>
      <c r="AD6" s="442"/>
      <c r="AE6" s="442"/>
      <c r="AF6" s="444"/>
      <c r="AG6" s="446"/>
      <c r="AH6" s="448"/>
      <c r="AI6" s="450"/>
      <c r="AJ6" s="426"/>
      <c r="AK6" s="351"/>
      <c r="AL6" s="331"/>
      <c r="AM6" s="331"/>
      <c r="AN6" s="311"/>
      <c r="AO6" s="331"/>
      <c r="AP6" s="311"/>
      <c r="AQ6" s="311"/>
      <c r="AR6" s="311"/>
      <c r="AS6" s="311"/>
      <c r="AT6" s="311"/>
      <c r="AU6" s="309"/>
      <c r="AV6" s="327"/>
      <c r="AW6" s="309"/>
      <c r="AX6" s="455"/>
      <c r="AY6" s="112" t="s">
        <v>117</v>
      </c>
      <c r="AZ6" s="337"/>
      <c r="BA6" s="311"/>
      <c r="BB6" s="311"/>
      <c r="BC6" s="457"/>
      <c r="BD6" s="334"/>
      <c r="BE6" s="311"/>
      <c r="BF6" s="322"/>
      <c r="BG6" s="432"/>
    </row>
    <row r="7" spans="1:59" ht="19.5" customHeight="1" thickBot="1">
      <c r="A7" s="195">
        <v>1</v>
      </c>
      <c r="B7" s="41">
        <v>2</v>
      </c>
      <c r="C7" s="41">
        <v>3</v>
      </c>
      <c r="D7" s="195">
        <v>4</v>
      </c>
      <c r="E7" s="41">
        <v>5</v>
      </c>
      <c r="F7" s="41">
        <v>6</v>
      </c>
      <c r="G7" s="195">
        <v>7</v>
      </c>
      <c r="H7" s="41">
        <v>8</v>
      </c>
      <c r="I7" s="41">
        <v>9</v>
      </c>
      <c r="J7" s="195">
        <v>10</v>
      </c>
      <c r="K7" s="41">
        <v>11</v>
      </c>
      <c r="L7" s="41">
        <v>12</v>
      </c>
      <c r="M7" s="195">
        <v>13</v>
      </c>
      <c r="N7" s="41">
        <v>14</v>
      </c>
      <c r="O7" s="41">
        <v>15</v>
      </c>
      <c r="P7" s="195">
        <v>16</v>
      </c>
      <c r="Q7" s="41">
        <v>17</v>
      </c>
      <c r="R7" s="41">
        <v>18</v>
      </c>
      <c r="S7" s="195">
        <v>19</v>
      </c>
      <c r="T7" s="41">
        <v>20</v>
      </c>
      <c r="U7" s="41">
        <v>21</v>
      </c>
      <c r="V7" s="195">
        <v>22</v>
      </c>
      <c r="W7" s="41">
        <v>23</v>
      </c>
      <c r="X7" s="195">
        <v>24</v>
      </c>
      <c r="Y7" s="41">
        <v>25</v>
      </c>
      <c r="Z7" s="195">
        <v>26</v>
      </c>
      <c r="AA7" s="41">
        <v>27</v>
      </c>
      <c r="AB7" s="195">
        <v>28</v>
      </c>
      <c r="AC7" s="41">
        <v>29</v>
      </c>
      <c r="AD7" s="195">
        <v>30</v>
      </c>
      <c r="AE7" s="195">
        <v>31</v>
      </c>
      <c r="AF7" s="41">
        <v>32</v>
      </c>
      <c r="AG7" s="195">
        <v>33</v>
      </c>
      <c r="AH7" s="41">
        <v>34</v>
      </c>
      <c r="AI7" s="195">
        <v>35</v>
      </c>
      <c r="AJ7" s="41">
        <v>36</v>
      </c>
      <c r="AK7" s="195">
        <v>37</v>
      </c>
      <c r="AL7" s="41">
        <v>38</v>
      </c>
      <c r="AM7" s="195">
        <v>39</v>
      </c>
      <c r="AN7" s="195">
        <v>40</v>
      </c>
      <c r="AO7" s="41">
        <v>41</v>
      </c>
      <c r="AP7" s="195">
        <v>42</v>
      </c>
      <c r="AQ7" s="41">
        <v>43</v>
      </c>
      <c r="AR7" s="195"/>
      <c r="AS7" s="195">
        <v>44</v>
      </c>
      <c r="AT7" s="41">
        <v>45</v>
      </c>
      <c r="AU7" s="195">
        <v>46</v>
      </c>
      <c r="AV7" s="41">
        <v>47</v>
      </c>
      <c r="AW7" s="195">
        <v>48</v>
      </c>
      <c r="AX7" s="195">
        <v>49</v>
      </c>
      <c r="AY7" s="41"/>
      <c r="AZ7" s="41">
        <v>50</v>
      </c>
      <c r="BA7" s="41">
        <v>51</v>
      </c>
      <c r="BB7" s="41">
        <v>52</v>
      </c>
      <c r="BC7" s="41">
        <v>53</v>
      </c>
      <c r="BD7" s="41">
        <v>54</v>
      </c>
      <c r="BE7" s="41"/>
      <c r="BF7" s="41">
        <v>55</v>
      </c>
      <c r="BG7" s="41">
        <v>56</v>
      </c>
    </row>
    <row r="8" spans="1:59" s="23" customFormat="1" ht="13.5" thickBot="1">
      <c r="A8" s="26" t="s">
        <v>52</v>
      </c>
      <c r="B8" s="196"/>
      <c r="C8" s="196">
        <f>Лист1!C44</f>
        <v>1013745.4000000001</v>
      </c>
      <c r="D8" s="196">
        <f>Лист1!D44</f>
        <v>117032.1570136</v>
      </c>
      <c r="E8" s="196">
        <f>Лист1!E44</f>
        <v>85763.44999999998</v>
      </c>
      <c r="F8" s="196">
        <f>Лист1!F44</f>
        <v>17754.22</v>
      </c>
      <c r="G8" s="196">
        <f>0</f>
        <v>0</v>
      </c>
      <c r="H8" s="196">
        <f>0</f>
        <v>0</v>
      </c>
      <c r="I8" s="196">
        <f>Лист1!G44</f>
        <v>116058.8</v>
      </c>
      <c r="J8" s="196">
        <f>Лист1!H44</f>
        <v>24034.300000000003</v>
      </c>
      <c r="K8" s="196">
        <f>Лист1!K44</f>
        <v>193245.63</v>
      </c>
      <c r="L8" s="196">
        <f>Лист1!L44</f>
        <v>40012.75</v>
      </c>
      <c r="M8" s="196">
        <f>Лист1!I44</f>
        <v>279002.2</v>
      </c>
      <c r="N8" s="196">
        <f>Лист1!J44</f>
        <v>57766.579999999994</v>
      </c>
      <c r="O8" s="196">
        <f>Лист1!M44</f>
        <v>68629.05</v>
      </c>
      <c r="P8" s="196">
        <f>Лист1!N44</f>
        <v>14202.67</v>
      </c>
      <c r="Q8" s="196">
        <f>'[2]Лист1'!O44</f>
        <v>0</v>
      </c>
      <c r="R8" s="196">
        <f>'[2]Лист1'!P44</f>
        <v>0</v>
      </c>
      <c r="S8" s="196">
        <f>'[2]Лист1'!Q44</f>
        <v>0</v>
      </c>
      <c r="T8" s="196">
        <f>'[2]Лист1'!R44</f>
        <v>0</v>
      </c>
      <c r="U8" s="196">
        <f>Лист1!S44</f>
        <v>742699.1300000001</v>
      </c>
      <c r="V8" s="196">
        <f>Лист1!T44</f>
        <v>153770.52</v>
      </c>
      <c r="W8" s="196">
        <f>Лист1!U44</f>
        <v>78966.85</v>
      </c>
      <c r="X8" s="196">
        <v>0</v>
      </c>
      <c r="Y8" s="196">
        <f>Лист1!V44</f>
        <v>106833</v>
      </c>
      <c r="Z8" s="196">
        <f>Лист1!X44</f>
        <v>177884.3</v>
      </c>
      <c r="AA8" s="196">
        <f>Лист1!W44</f>
        <v>258453.90000000002</v>
      </c>
      <c r="AB8" s="196">
        <f>Лист1!M44</f>
        <v>68629.05</v>
      </c>
      <c r="AC8" s="196">
        <f>'[1]Лист1'!Z46</f>
        <v>0</v>
      </c>
      <c r="AD8" s="196">
        <f>'[1]Лист1'!AA46</f>
        <v>0</v>
      </c>
      <c r="AF8" s="196">
        <f>Лист1!AB44</f>
        <v>685316.91</v>
      </c>
      <c r="AG8" s="196">
        <f>Лист1!AC44</f>
        <v>956119.5870135999</v>
      </c>
      <c r="AH8" s="196">
        <f>'[1]Лист1'!AD46</f>
        <v>0</v>
      </c>
      <c r="AI8" s="196">
        <f>'[1]Лист1'!AE46</f>
        <v>0</v>
      </c>
      <c r="AJ8" s="196">
        <f>'[1]Лист1'!AF46</f>
        <v>0</v>
      </c>
      <c r="AK8" s="196">
        <f>Лист1!AG44</f>
        <v>69275.41919999999</v>
      </c>
      <c r="AL8" s="196">
        <f>Лист1!AH44</f>
        <v>23213.01691208</v>
      </c>
      <c r="AM8" s="196">
        <f>Лист1!AI44+Лист1!AJ44</f>
        <v>114999.699674374</v>
      </c>
      <c r="AN8" s="196">
        <v>0</v>
      </c>
      <c r="AO8" s="196">
        <f>Лист1!AK44+Лист1!AL44</f>
        <v>114703.70181109096</v>
      </c>
      <c r="AP8" s="196">
        <f>Лист1!AM44+Лист1!AN44</f>
        <v>256598.79600527993</v>
      </c>
      <c r="AQ8" s="196">
        <v>0</v>
      </c>
      <c r="AR8" s="196">
        <v>0</v>
      </c>
      <c r="AS8" s="196">
        <v>0</v>
      </c>
      <c r="AT8" s="196">
        <f>Лист1!AO44</f>
        <v>4795.200000000001</v>
      </c>
      <c r="AU8" s="196">
        <f>Лист1!AS44+Лист1!AU44</f>
        <v>184922.5568</v>
      </c>
      <c r="AV8" s="196">
        <f>0</f>
        <v>0</v>
      </c>
      <c r="AW8" s="196">
        <f>Лист1!AT44</f>
        <v>58659.5</v>
      </c>
      <c r="AX8" s="196">
        <f>Лист1!AQ44+Лист1!AR44</f>
        <v>62193.8808</v>
      </c>
      <c r="AY8" s="197">
        <f>Лист1!AX44</f>
        <v>32475.3552</v>
      </c>
      <c r="AZ8" s="197">
        <f>'[1]Лист1'!AY46</f>
        <v>0</v>
      </c>
      <c r="BA8" s="197">
        <f>Лист1!AZ44</f>
        <v>119508</v>
      </c>
      <c r="BB8" s="197">
        <f>Лист1!BA44</f>
        <v>21511.44</v>
      </c>
      <c r="BC8" s="197">
        <f>Лист1!BB44</f>
        <v>1062856.566402825</v>
      </c>
      <c r="BD8" s="197">
        <f>Лист1!BC44</f>
        <v>75</v>
      </c>
      <c r="BE8" s="198">
        <f>Лист1!BD44</f>
        <v>656137.012002825</v>
      </c>
      <c r="BF8" s="199">
        <f>Лист1!BE44</f>
        <v>-106511.97938922497</v>
      </c>
      <c r="BG8" s="199">
        <f>Лист1!BF44</f>
        <v>-57382.22000000002</v>
      </c>
    </row>
    <row r="9" spans="1:59" ht="12.75">
      <c r="A9" s="5" t="s">
        <v>121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1"/>
      <c r="BF9" s="199"/>
      <c r="BG9" s="202"/>
    </row>
    <row r="10" spans="1:63" ht="12.75">
      <c r="A10" s="203" t="s">
        <v>43</v>
      </c>
      <c r="B10" s="221">
        <v>4340.74</v>
      </c>
      <c r="C10" s="168">
        <f aca="true" t="shared" si="0" ref="C10:C20">B10*8.55</f>
        <v>37113.327000000005</v>
      </c>
      <c r="D10" s="121">
        <v>165.036</v>
      </c>
      <c r="E10" s="204">
        <v>0</v>
      </c>
      <c r="F10" s="204">
        <v>0</v>
      </c>
      <c r="G10" s="210">
        <v>22993.95</v>
      </c>
      <c r="H10" s="210">
        <v>0</v>
      </c>
      <c r="I10" s="210">
        <v>0.01</v>
      </c>
      <c r="J10" s="210">
        <v>0</v>
      </c>
      <c r="K10" s="210">
        <v>0</v>
      </c>
      <c r="L10" s="210">
        <v>0</v>
      </c>
      <c r="M10" s="210">
        <v>11003.75</v>
      </c>
      <c r="N10" s="210">
        <v>0</v>
      </c>
      <c r="O10" s="205">
        <v>3816.88</v>
      </c>
      <c r="P10" s="207">
        <v>0</v>
      </c>
      <c r="Q10" s="293">
        <v>0</v>
      </c>
      <c r="R10" s="294">
        <v>0</v>
      </c>
      <c r="S10" s="229">
        <v>0</v>
      </c>
      <c r="T10" s="230">
        <v>0</v>
      </c>
      <c r="U10" s="208">
        <f aca="true" t="shared" si="1" ref="U10:V21">E10+G10+I10+K10+M10+O10+Q10+S10</f>
        <v>37814.59</v>
      </c>
      <c r="V10" s="209">
        <f t="shared" si="1"/>
        <v>0</v>
      </c>
      <c r="W10" s="210">
        <v>2778.3</v>
      </c>
      <c r="X10" s="210"/>
      <c r="Y10" s="210">
        <v>3763.5</v>
      </c>
      <c r="Z10" s="210">
        <v>6264.54</v>
      </c>
      <c r="AA10" s="210">
        <v>13829.28</v>
      </c>
      <c r="AB10" s="210">
        <v>3205.78</v>
      </c>
      <c r="AC10" s="210">
        <v>0</v>
      </c>
      <c r="AD10" s="204">
        <v>0</v>
      </c>
      <c r="AE10" s="211">
        <v>0</v>
      </c>
      <c r="AF10" s="211">
        <f>SUM(W10:AE10)</f>
        <v>29841.4</v>
      </c>
      <c r="AG10" s="212">
        <f>AF10+V10+D10</f>
        <v>30006.436</v>
      </c>
      <c r="AH10" s="213">
        <f aca="true" t="shared" si="2" ref="AH10:AI21">AC10</f>
        <v>0</v>
      </c>
      <c r="AI10" s="213">
        <f t="shared" si="2"/>
        <v>0</v>
      </c>
      <c r="AJ10" s="214">
        <f>'[4]Т01'!$I$146</f>
        <v>100</v>
      </c>
      <c r="AK10" s="215">
        <f aca="true" t="shared" si="3" ref="AK10:AK21">0.67*B10</f>
        <v>2908.2958</v>
      </c>
      <c r="AL10" s="215">
        <f aca="true" t="shared" si="4" ref="AL10:AL21">B10*0.2</f>
        <v>868.148</v>
      </c>
      <c r="AM10" s="215">
        <f aca="true" t="shared" si="5" ref="AM10:AM21">B10*1</f>
        <v>4340.74</v>
      </c>
      <c r="AN10" s="215">
        <f aca="true" t="shared" si="6" ref="AN10:AN21">B10*0.21</f>
        <v>911.5554</v>
      </c>
      <c r="AO10" s="215">
        <f aca="true" t="shared" si="7" ref="AO10:AO21">2.02*B10</f>
        <v>8768.2948</v>
      </c>
      <c r="AP10" s="215">
        <f aca="true" t="shared" si="8" ref="AP10:AP21">B10*1.03</f>
        <v>4470.9622</v>
      </c>
      <c r="AQ10" s="215">
        <f aca="true" t="shared" si="9" ref="AQ10:AQ21">B10*0.75</f>
        <v>3255.555</v>
      </c>
      <c r="AR10" s="215">
        <f aca="true" t="shared" si="10" ref="AR10:AR21">B10*0.75</f>
        <v>3255.555</v>
      </c>
      <c r="AS10" s="215">
        <f>B10*1.15</f>
        <v>4991.851</v>
      </c>
      <c r="AT10" s="215">
        <f>0.45*888</f>
        <v>399.6</v>
      </c>
      <c r="AU10" s="216">
        <v>4061</v>
      </c>
      <c r="AV10" s="217">
        <v>420</v>
      </c>
      <c r="AW10" s="216">
        <v>9972</v>
      </c>
      <c r="AX10" s="216">
        <f>175+6.04+5+32.2+20.8</f>
        <v>239.04000000000002</v>
      </c>
      <c r="AY10" s="129"/>
      <c r="AZ10" s="218"/>
      <c r="BA10" s="218"/>
      <c r="BB10" s="218">
        <f>AZ10*0.18</f>
        <v>0</v>
      </c>
      <c r="BC10" s="218">
        <f aca="true" t="shared" si="11" ref="BC10:BC20">SUM(AK10:BB10)</f>
        <v>48862.597200000004</v>
      </c>
      <c r="BD10" s="219">
        <f>'[4]Т01'!$R$146</f>
        <v>25</v>
      </c>
      <c r="BE10" s="219">
        <f>BC10+BD10</f>
        <v>48887.597200000004</v>
      </c>
      <c r="BF10" s="219">
        <f>AG10+AJ10-BE10</f>
        <v>-18781.161200000002</v>
      </c>
      <c r="BG10" s="219">
        <f>AF10-U10</f>
        <v>-7973.189999999995</v>
      </c>
      <c r="BH10" s="70"/>
      <c r="BI10" s="220"/>
      <c r="BJ10" s="70"/>
      <c r="BK10" s="220"/>
    </row>
    <row r="11" spans="1:61" ht="12.75">
      <c r="A11" s="203" t="s">
        <v>44</v>
      </c>
      <c r="B11" s="221">
        <v>4340.74</v>
      </c>
      <c r="C11" s="168">
        <f t="shared" si="0"/>
        <v>37113.327000000005</v>
      </c>
      <c r="D11" s="121">
        <v>165.036</v>
      </c>
      <c r="E11" s="204">
        <v>-1.39</v>
      </c>
      <c r="F11" s="204">
        <v>0</v>
      </c>
      <c r="G11" s="210">
        <v>22323.51</v>
      </c>
      <c r="H11" s="210">
        <v>0</v>
      </c>
      <c r="I11" s="210">
        <v>-1.72</v>
      </c>
      <c r="J11" s="210">
        <v>0</v>
      </c>
      <c r="K11" s="210">
        <v>-2.86</v>
      </c>
      <c r="L11" s="210">
        <v>0</v>
      </c>
      <c r="M11" s="210">
        <v>10999.63</v>
      </c>
      <c r="N11" s="210">
        <v>0</v>
      </c>
      <c r="O11" s="205">
        <v>3815.85</v>
      </c>
      <c r="P11" s="222">
        <v>0</v>
      </c>
      <c r="Q11" s="204">
        <v>0</v>
      </c>
      <c r="R11" s="204">
        <v>0</v>
      </c>
      <c r="S11" s="204">
        <v>0</v>
      </c>
      <c r="T11" s="210">
        <v>0</v>
      </c>
      <c r="U11" s="223">
        <f t="shared" si="1"/>
        <v>37133.02</v>
      </c>
      <c r="V11" s="209">
        <f t="shared" si="1"/>
        <v>0</v>
      </c>
      <c r="W11" s="210">
        <v>2058.66</v>
      </c>
      <c r="X11" s="204">
        <v>17388.7</v>
      </c>
      <c r="Y11" s="210">
        <v>1734.02</v>
      </c>
      <c r="Z11" s="210">
        <v>2393.5</v>
      </c>
      <c r="AA11" s="210">
        <v>11944.54</v>
      </c>
      <c r="AB11" s="210">
        <v>3824.64</v>
      </c>
      <c r="AC11" s="210">
        <v>0</v>
      </c>
      <c r="AD11" s="204">
        <v>0</v>
      </c>
      <c r="AE11" s="204">
        <v>0</v>
      </c>
      <c r="AF11" s="211">
        <f>SUM(W11:AE11)</f>
        <v>39344.06</v>
      </c>
      <c r="AG11" s="212">
        <f>AF11+V11+D11</f>
        <v>39509.096</v>
      </c>
      <c r="AH11" s="213">
        <f t="shared" si="2"/>
        <v>0</v>
      </c>
      <c r="AI11" s="213">
        <f t="shared" si="2"/>
        <v>0</v>
      </c>
      <c r="AJ11" s="214">
        <f>'[4]Т02'!$J$148</f>
        <v>100</v>
      </c>
      <c r="AK11" s="215">
        <f t="shared" si="3"/>
        <v>2908.2958</v>
      </c>
      <c r="AL11" s="215">
        <f t="shared" si="4"/>
        <v>868.148</v>
      </c>
      <c r="AM11" s="215">
        <f t="shared" si="5"/>
        <v>4340.74</v>
      </c>
      <c r="AN11" s="215">
        <f t="shared" si="6"/>
        <v>911.5554</v>
      </c>
      <c r="AO11" s="215">
        <f t="shared" si="7"/>
        <v>8768.2948</v>
      </c>
      <c r="AP11" s="215">
        <f t="shared" si="8"/>
        <v>4470.9622</v>
      </c>
      <c r="AQ11" s="215">
        <f t="shared" si="9"/>
        <v>3255.555</v>
      </c>
      <c r="AR11" s="215">
        <f t="shared" si="10"/>
        <v>3255.555</v>
      </c>
      <c r="AS11" s="215">
        <f>B11*1.15</f>
        <v>4991.851</v>
      </c>
      <c r="AT11" s="215"/>
      <c r="AU11" s="216">
        <v>850</v>
      </c>
      <c r="AV11" s="217"/>
      <c r="AW11" s="216">
        <v>1709</v>
      </c>
      <c r="AX11" s="216">
        <f>22.56+8+10</f>
        <v>40.56</v>
      </c>
      <c r="AY11" s="129"/>
      <c r="AZ11" s="218"/>
      <c r="BA11" s="218"/>
      <c r="BB11" s="218">
        <f>AZ11*0.18</f>
        <v>0</v>
      </c>
      <c r="BC11" s="218">
        <f t="shared" si="11"/>
        <v>36370.5172</v>
      </c>
      <c r="BD11" s="219">
        <f>'[4]Т02'!$S$147</f>
        <v>25</v>
      </c>
      <c r="BE11" s="219">
        <f aca="true" t="shared" si="12" ref="BE11:BE21">BC11+BD11</f>
        <v>36395.5172</v>
      </c>
      <c r="BF11" s="219">
        <f>AG11+AJ11-BE11</f>
        <v>3213.5787999999957</v>
      </c>
      <c r="BG11" s="219">
        <f>AF11-U11</f>
        <v>2211.040000000001</v>
      </c>
      <c r="BH11" s="220"/>
      <c r="BI11" s="224"/>
    </row>
    <row r="12" spans="1:61" ht="12.75">
      <c r="A12" s="203" t="s">
        <v>45</v>
      </c>
      <c r="B12" s="221">
        <v>4340.04</v>
      </c>
      <c r="C12" s="168">
        <f t="shared" si="0"/>
        <v>37107.342000000004</v>
      </c>
      <c r="D12" s="121">
        <v>165.036</v>
      </c>
      <c r="E12" s="204">
        <v>0</v>
      </c>
      <c r="F12" s="204">
        <v>0</v>
      </c>
      <c r="G12" s="210">
        <v>22646</v>
      </c>
      <c r="H12" s="210">
        <v>0</v>
      </c>
      <c r="I12" s="210">
        <v>0</v>
      </c>
      <c r="J12" s="210">
        <v>0</v>
      </c>
      <c r="K12" s="210">
        <v>0</v>
      </c>
      <c r="L12" s="210">
        <v>0</v>
      </c>
      <c r="M12" s="210">
        <v>10997.53</v>
      </c>
      <c r="N12" s="210">
        <v>0</v>
      </c>
      <c r="O12" s="205">
        <v>3814.66</v>
      </c>
      <c r="P12" s="207">
        <v>0</v>
      </c>
      <c r="Q12" s="235">
        <v>0</v>
      </c>
      <c r="R12" s="235">
        <v>0</v>
      </c>
      <c r="S12" s="235">
        <v>0</v>
      </c>
      <c r="T12" s="210">
        <v>0</v>
      </c>
      <c r="U12" s="210">
        <f t="shared" si="1"/>
        <v>37458.19</v>
      </c>
      <c r="V12" s="225">
        <f t="shared" si="1"/>
        <v>0</v>
      </c>
      <c r="W12" s="226">
        <v>595.72</v>
      </c>
      <c r="X12" s="204">
        <v>22361.61</v>
      </c>
      <c r="Y12" s="210">
        <v>808.07</v>
      </c>
      <c r="Z12" s="210">
        <v>1849.01</v>
      </c>
      <c r="AA12" s="210">
        <v>13859.84</v>
      </c>
      <c r="AB12" s="210">
        <v>4072.86</v>
      </c>
      <c r="AC12" s="210">
        <v>0</v>
      </c>
      <c r="AD12" s="204">
        <v>0</v>
      </c>
      <c r="AE12" s="210">
        <v>0</v>
      </c>
      <c r="AF12" s="227">
        <f>SUM(W12:AE12)</f>
        <v>43547.11</v>
      </c>
      <c r="AG12" s="212">
        <f>AF12+V12+D12</f>
        <v>43712.146</v>
      </c>
      <c r="AH12" s="213">
        <f t="shared" si="2"/>
        <v>0</v>
      </c>
      <c r="AI12" s="213">
        <f t="shared" si="2"/>
        <v>0</v>
      </c>
      <c r="AJ12" s="214">
        <f>'[4]Т03'!$J$148</f>
        <v>100</v>
      </c>
      <c r="AK12" s="215">
        <f t="shared" si="3"/>
        <v>2907.8268000000003</v>
      </c>
      <c r="AL12" s="215">
        <f t="shared" si="4"/>
        <v>868.008</v>
      </c>
      <c r="AM12" s="215">
        <f t="shared" si="5"/>
        <v>4340.04</v>
      </c>
      <c r="AN12" s="215">
        <f t="shared" si="6"/>
        <v>911.4083999999999</v>
      </c>
      <c r="AO12" s="215">
        <f t="shared" si="7"/>
        <v>8766.8808</v>
      </c>
      <c r="AP12" s="215">
        <f t="shared" si="8"/>
        <v>4470.2412</v>
      </c>
      <c r="AQ12" s="215">
        <f t="shared" si="9"/>
        <v>3255.0299999999997</v>
      </c>
      <c r="AR12" s="215">
        <f t="shared" si="10"/>
        <v>3255.0299999999997</v>
      </c>
      <c r="AS12" s="215">
        <f>B12*1.15</f>
        <v>4991.045999999999</v>
      </c>
      <c r="AT12" s="215">
        <f aca="true" t="shared" si="13" ref="AT12:AT20">0.45*888</f>
        <v>399.6</v>
      </c>
      <c r="AU12" s="216">
        <v>921</v>
      </c>
      <c r="AV12" s="228">
        <v>386</v>
      </c>
      <c r="AW12" s="216"/>
      <c r="AX12" s="216">
        <f>400+400+78</f>
        <v>878</v>
      </c>
      <c r="AY12" s="129"/>
      <c r="AZ12" s="218"/>
      <c r="BA12" s="218"/>
      <c r="BB12" s="218">
        <f>AZ12*0.18</f>
        <v>0</v>
      </c>
      <c r="BC12" s="218">
        <f t="shared" si="11"/>
        <v>36350.1112</v>
      </c>
      <c r="BD12" s="219">
        <f>'[4]Т03'!$S$148</f>
        <v>25</v>
      </c>
      <c r="BE12" s="219">
        <f t="shared" si="12"/>
        <v>36375.1112</v>
      </c>
      <c r="BF12" s="219">
        <f>AG12+AJ12-BE12</f>
        <v>7437.034800000001</v>
      </c>
      <c r="BG12" s="219">
        <f>AF12-U12</f>
        <v>6088.919999999998</v>
      </c>
      <c r="BH12" s="220"/>
      <c r="BI12" s="224"/>
    </row>
    <row r="13" spans="1:61" ht="12.75">
      <c r="A13" s="203" t="s">
        <v>46</v>
      </c>
      <c r="B13" s="221">
        <v>4340.04</v>
      </c>
      <c r="C13" s="168">
        <f t="shared" si="0"/>
        <v>37107.342000000004</v>
      </c>
      <c r="D13" s="121">
        <v>165.036</v>
      </c>
      <c r="E13" s="229">
        <v>0</v>
      </c>
      <c r="F13" s="204">
        <v>0</v>
      </c>
      <c r="G13" s="226">
        <v>22637.84</v>
      </c>
      <c r="H13" s="210">
        <v>0</v>
      </c>
      <c r="I13" s="210">
        <v>0</v>
      </c>
      <c r="J13" s="210">
        <v>0</v>
      </c>
      <c r="K13" s="210">
        <v>0</v>
      </c>
      <c r="L13" s="210">
        <v>0</v>
      </c>
      <c r="M13" s="210">
        <v>10993.52</v>
      </c>
      <c r="N13" s="210">
        <v>0</v>
      </c>
      <c r="O13" s="205">
        <v>3813.23</v>
      </c>
      <c r="P13" s="207">
        <v>0</v>
      </c>
      <c r="Q13" s="206">
        <v>0</v>
      </c>
      <c r="R13" s="207">
        <v>0</v>
      </c>
      <c r="S13" s="295">
        <v>0</v>
      </c>
      <c r="T13" s="230">
        <v>0</v>
      </c>
      <c r="U13" s="223">
        <f t="shared" si="1"/>
        <v>37444.590000000004</v>
      </c>
      <c r="V13" s="225">
        <f t="shared" si="1"/>
        <v>0</v>
      </c>
      <c r="W13" s="210">
        <v>-515.8</v>
      </c>
      <c r="X13" s="204">
        <v>20826.26</v>
      </c>
      <c r="Y13" s="210">
        <v>353.74</v>
      </c>
      <c r="Z13" s="210">
        <v>589.49</v>
      </c>
      <c r="AA13" s="210">
        <v>8699.64</v>
      </c>
      <c r="AB13" s="204">
        <v>2950.36</v>
      </c>
      <c r="AC13" s="210">
        <v>0</v>
      </c>
      <c r="AD13" s="204">
        <v>0</v>
      </c>
      <c r="AE13" s="204">
        <v>0</v>
      </c>
      <c r="AF13" s="211">
        <f>SUM(W13:AD13)</f>
        <v>32903.69</v>
      </c>
      <c r="AG13" s="231">
        <f>AF13+V13+D13</f>
        <v>33068.726</v>
      </c>
      <c r="AH13" s="232">
        <f t="shared" si="2"/>
        <v>0</v>
      </c>
      <c r="AI13" s="232">
        <f t="shared" si="2"/>
        <v>0</v>
      </c>
      <c r="AJ13" s="296">
        <f>'[5]Т04'!$J$150</f>
        <v>100</v>
      </c>
      <c r="AK13" s="215">
        <f t="shared" si="3"/>
        <v>2907.8268000000003</v>
      </c>
      <c r="AL13" s="215">
        <f t="shared" si="4"/>
        <v>868.008</v>
      </c>
      <c r="AM13" s="215">
        <f t="shared" si="5"/>
        <v>4340.04</v>
      </c>
      <c r="AN13" s="215">
        <f t="shared" si="6"/>
        <v>911.4083999999999</v>
      </c>
      <c r="AO13" s="215">
        <f t="shared" si="7"/>
        <v>8766.8808</v>
      </c>
      <c r="AP13" s="215">
        <f t="shared" si="8"/>
        <v>4470.2412</v>
      </c>
      <c r="AQ13" s="215">
        <f t="shared" si="9"/>
        <v>3255.0299999999997</v>
      </c>
      <c r="AR13" s="215">
        <f t="shared" si="10"/>
        <v>3255.0299999999997</v>
      </c>
      <c r="AS13" s="215"/>
      <c r="AT13" s="233">
        <f t="shared" si="13"/>
        <v>399.6</v>
      </c>
      <c r="AU13" s="234"/>
      <c r="AV13" s="234"/>
      <c r="AW13" s="234"/>
      <c r="AX13" s="234">
        <f>25+20+55+17</f>
        <v>117</v>
      </c>
      <c r="AY13" s="129"/>
      <c r="AZ13" s="233"/>
      <c r="BA13" s="233"/>
      <c r="BB13" s="233"/>
      <c r="BC13" s="235">
        <f t="shared" si="11"/>
        <v>29291.065199999997</v>
      </c>
      <c r="BD13" s="297">
        <f>'[4]Т04'!$S$150</f>
        <v>25</v>
      </c>
      <c r="BE13" s="219">
        <f t="shared" si="12"/>
        <v>29316.065199999997</v>
      </c>
      <c r="BF13" s="219">
        <f>AG13+AJ13-BE13</f>
        <v>3852.660800000005</v>
      </c>
      <c r="BG13" s="219">
        <f>AF13-U13</f>
        <v>-4540.9000000000015</v>
      </c>
      <c r="BH13" s="220"/>
      <c r="BI13" s="224"/>
    </row>
    <row r="14" spans="1:61" ht="12.75">
      <c r="A14" s="203" t="s">
        <v>47</v>
      </c>
      <c r="B14" s="236">
        <v>4340.04</v>
      </c>
      <c r="C14" s="168">
        <f t="shared" si="0"/>
        <v>37107.342000000004</v>
      </c>
      <c r="D14" s="121">
        <v>165.036</v>
      </c>
      <c r="E14" s="237">
        <v>0</v>
      </c>
      <c r="F14" s="204">
        <v>0</v>
      </c>
      <c r="G14" s="210">
        <v>22637.84</v>
      </c>
      <c r="H14" s="210">
        <v>0</v>
      </c>
      <c r="I14" s="210">
        <v>0</v>
      </c>
      <c r="J14" s="210">
        <v>0</v>
      </c>
      <c r="K14" s="210">
        <v>0</v>
      </c>
      <c r="L14" s="210">
        <v>0</v>
      </c>
      <c r="M14" s="210">
        <v>10993.52</v>
      </c>
      <c r="N14" s="210">
        <v>0</v>
      </c>
      <c r="O14" s="205">
        <v>3813.23</v>
      </c>
      <c r="P14" s="207">
        <v>0</v>
      </c>
      <c r="Q14" s="235">
        <v>0</v>
      </c>
      <c r="R14" s="298">
        <v>0</v>
      </c>
      <c r="S14" s="235">
        <v>0</v>
      </c>
      <c r="T14" s="204">
        <v>0</v>
      </c>
      <c r="U14" s="229">
        <f t="shared" si="1"/>
        <v>37444.590000000004</v>
      </c>
      <c r="V14" s="238">
        <f>F14+H14+J14+L14+N14++R14+T14</f>
        <v>0</v>
      </c>
      <c r="W14" s="210">
        <v>127.51</v>
      </c>
      <c r="X14" s="204">
        <v>21962.13</v>
      </c>
      <c r="Y14" s="210">
        <v>172.74</v>
      </c>
      <c r="Z14" s="210">
        <v>287.89</v>
      </c>
      <c r="AA14" s="210">
        <v>10720.48</v>
      </c>
      <c r="AB14" s="210">
        <v>3750.73</v>
      </c>
      <c r="AC14" s="210">
        <v>0</v>
      </c>
      <c r="AD14" s="204">
        <v>0</v>
      </c>
      <c r="AE14" s="211">
        <v>0</v>
      </c>
      <c r="AF14" s="239">
        <f>SUM(W14:AE14)</f>
        <v>37021.48</v>
      </c>
      <c r="AG14" s="231">
        <f aca="true" t="shared" si="14" ref="AG14:AG21">D14+V14+AF14</f>
        <v>37186.516</v>
      </c>
      <c r="AH14" s="232">
        <f t="shared" si="2"/>
        <v>0</v>
      </c>
      <c r="AI14" s="232">
        <f t="shared" si="2"/>
        <v>0</v>
      </c>
      <c r="AJ14" s="296">
        <f>'[4]Т05'!$J$148+'[4]Т05'!$J$205</f>
        <v>214</v>
      </c>
      <c r="AK14" s="215">
        <f t="shared" si="3"/>
        <v>2907.8268000000003</v>
      </c>
      <c r="AL14" s="215">
        <f t="shared" si="4"/>
        <v>868.008</v>
      </c>
      <c r="AM14" s="215">
        <f t="shared" si="5"/>
        <v>4340.04</v>
      </c>
      <c r="AN14" s="215">
        <f t="shared" si="6"/>
        <v>911.4083999999999</v>
      </c>
      <c r="AO14" s="215">
        <f t="shared" si="7"/>
        <v>8766.8808</v>
      </c>
      <c r="AP14" s="215">
        <f t="shared" si="8"/>
        <v>4470.2412</v>
      </c>
      <c r="AQ14" s="215">
        <f t="shared" si="9"/>
        <v>3255.0299999999997</v>
      </c>
      <c r="AR14" s="215">
        <f t="shared" si="10"/>
        <v>3255.0299999999997</v>
      </c>
      <c r="AS14" s="215"/>
      <c r="AT14" s="233">
        <f t="shared" si="13"/>
        <v>399.6</v>
      </c>
      <c r="AU14" s="234">
        <v>1652</v>
      </c>
      <c r="AV14" s="234"/>
      <c r="AW14" s="234"/>
      <c r="AX14" s="234">
        <f>125+13+39.83+435</f>
        <v>612.8299999999999</v>
      </c>
      <c r="AY14" s="129"/>
      <c r="AZ14" s="233"/>
      <c r="BA14" s="233"/>
      <c r="BB14" s="233"/>
      <c r="BC14" s="235">
        <f t="shared" si="11"/>
        <v>31438.8952</v>
      </c>
      <c r="BD14" s="297">
        <f>'[4]Т05'!$S$148+'[4]Т05'!$S$205</f>
        <v>53.5</v>
      </c>
      <c r="BE14" s="219">
        <f t="shared" si="12"/>
        <v>31492.3952</v>
      </c>
      <c r="BF14" s="219">
        <f>AG14+AJ14-BE14</f>
        <v>5908.120800000004</v>
      </c>
      <c r="BG14" s="219">
        <f>AF14-U14</f>
        <v>-423.1100000000006</v>
      </c>
      <c r="BH14" s="220"/>
      <c r="BI14" s="224"/>
    </row>
    <row r="15" spans="1:62" ht="12.75">
      <c r="A15" s="203" t="s">
        <v>48</v>
      </c>
      <c r="B15" s="221">
        <v>4340.04</v>
      </c>
      <c r="C15" s="168">
        <f t="shared" si="0"/>
        <v>37107.342000000004</v>
      </c>
      <c r="D15" s="121">
        <v>165.036</v>
      </c>
      <c r="E15" s="240">
        <v>0</v>
      </c>
      <c r="F15" s="240"/>
      <c r="G15" s="240">
        <v>22619.68</v>
      </c>
      <c r="H15" s="240"/>
      <c r="I15" s="241">
        <v>0</v>
      </c>
      <c r="J15" s="241"/>
      <c r="K15" s="241">
        <v>0</v>
      </c>
      <c r="L15" s="241"/>
      <c r="M15" s="241">
        <v>10984.57</v>
      </c>
      <c r="N15" s="241"/>
      <c r="O15" s="241">
        <v>3810.04</v>
      </c>
      <c r="P15" s="241"/>
      <c r="Q15" s="241">
        <v>0</v>
      </c>
      <c r="R15" s="242"/>
      <c r="S15" s="242">
        <v>0</v>
      </c>
      <c r="T15" s="241"/>
      <c r="U15" s="243">
        <f t="shared" si="1"/>
        <v>37414.29</v>
      </c>
      <c r="V15" s="244">
        <f t="shared" si="1"/>
        <v>0</v>
      </c>
      <c r="W15" s="245">
        <v>5.83</v>
      </c>
      <c r="X15" s="240">
        <v>22897.83</v>
      </c>
      <c r="Y15" s="240">
        <v>8.26</v>
      </c>
      <c r="Z15" s="240">
        <v>2313.81</v>
      </c>
      <c r="AA15" s="240">
        <v>11544.79</v>
      </c>
      <c r="AB15" s="240">
        <v>5484.73</v>
      </c>
      <c r="AC15" s="240">
        <v>0</v>
      </c>
      <c r="AD15" s="240">
        <v>0</v>
      </c>
      <c r="AE15" s="256">
        <v>0</v>
      </c>
      <c r="AF15" s="246">
        <f aca="true" t="shared" si="15" ref="AF15:AF21">SUM(W15:AE15)</f>
        <v>42255.25</v>
      </c>
      <c r="AG15" s="231">
        <f t="shared" si="14"/>
        <v>42420.286</v>
      </c>
      <c r="AH15" s="232">
        <f t="shared" si="2"/>
        <v>0</v>
      </c>
      <c r="AI15" s="232">
        <f t="shared" si="2"/>
        <v>0</v>
      </c>
      <c r="AJ15" s="296">
        <f>'[4]Т06'!$J$148+'[4]Т06'!$J$205</f>
        <v>214</v>
      </c>
      <c r="AK15" s="215">
        <f t="shared" si="3"/>
        <v>2907.8268000000003</v>
      </c>
      <c r="AL15" s="215">
        <f t="shared" si="4"/>
        <v>868.008</v>
      </c>
      <c r="AM15" s="215">
        <f t="shared" si="5"/>
        <v>4340.04</v>
      </c>
      <c r="AN15" s="215">
        <f t="shared" si="6"/>
        <v>911.4083999999999</v>
      </c>
      <c r="AO15" s="215">
        <f t="shared" si="7"/>
        <v>8766.8808</v>
      </c>
      <c r="AP15" s="215">
        <f t="shared" si="8"/>
        <v>4470.2412</v>
      </c>
      <c r="AQ15" s="215">
        <f t="shared" si="9"/>
        <v>3255.0299999999997</v>
      </c>
      <c r="AR15" s="215">
        <f t="shared" si="10"/>
        <v>3255.0299999999997</v>
      </c>
      <c r="AS15" s="215"/>
      <c r="AT15" s="233">
        <f t="shared" si="13"/>
        <v>399.6</v>
      </c>
      <c r="AU15" s="234">
        <v>432</v>
      </c>
      <c r="AV15" s="234"/>
      <c r="AW15" s="307">
        <f>2217.456+1500.96</f>
        <v>3718.416</v>
      </c>
      <c r="AX15" s="234">
        <f>22+155</f>
        <v>177</v>
      </c>
      <c r="AY15" s="215"/>
      <c r="AZ15" s="233"/>
      <c r="BA15" s="233"/>
      <c r="BB15" s="233"/>
      <c r="BC15" s="247">
        <f t="shared" si="11"/>
        <v>33501.481199999995</v>
      </c>
      <c r="BD15" s="297">
        <f>'[4]Т06'!$S$148+'[4]Т06'!$S$205</f>
        <v>53.5</v>
      </c>
      <c r="BE15" s="219">
        <f t="shared" si="12"/>
        <v>33554.981199999995</v>
      </c>
      <c r="BF15" s="219">
        <f aca="true" t="shared" si="16" ref="BF15:BF21">AG15+AJ15-BE15</f>
        <v>9079.304800000005</v>
      </c>
      <c r="BG15" s="219">
        <f aca="true" t="shared" si="17" ref="BG15:BG21">AF15-U15</f>
        <v>4840.959999999999</v>
      </c>
      <c r="BH15" s="220"/>
      <c r="BI15" s="220"/>
      <c r="BJ15" s="224"/>
    </row>
    <row r="16" spans="1:60" ht="12.75">
      <c r="A16" s="203" t="s">
        <v>49</v>
      </c>
      <c r="B16" s="221">
        <v>4340.04</v>
      </c>
      <c r="C16" s="168">
        <f t="shared" si="0"/>
        <v>37107.342000000004</v>
      </c>
      <c r="D16" s="121">
        <v>165.036</v>
      </c>
      <c r="E16" s="248"/>
      <c r="F16" s="248"/>
      <c r="G16" s="248">
        <v>22619.03</v>
      </c>
      <c r="H16" s="248"/>
      <c r="I16" s="248"/>
      <c r="J16" s="248"/>
      <c r="K16" s="248"/>
      <c r="L16" s="248"/>
      <c r="M16" s="248">
        <v>10984.28</v>
      </c>
      <c r="N16" s="248"/>
      <c r="O16" s="248">
        <v>3809.93</v>
      </c>
      <c r="P16" s="248"/>
      <c r="Q16" s="248"/>
      <c r="R16" s="248"/>
      <c r="S16" s="249"/>
      <c r="T16" s="245"/>
      <c r="U16" s="250">
        <f t="shared" si="1"/>
        <v>37413.24</v>
      </c>
      <c r="V16" s="299">
        <f t="shared" si="1"/>
        <v>0</v>
      </c>
      <c r="W16" s="251">
        <v>1508.72</v>
      </c>
      <c r="X16" s="248">
        <v>19637.41</v>
      </c>
      <c r="Y16" s="248">
        <v>11.81</v>
      </c>
      <c r="Z16" s="248">
        <v>19.65</v>
      </c>
      <c r="AA16" s="248">
        <v>9565.51</v>
      </c>
      <c r="AB16" s="248">
        <v>3312.28</v>
      </c>
      <c r="AC16" s="240"/>
      <c r="AD16" s="248"/>
      <c r="AE16" s="249"/>
      <c r="AF16" s="246">
        <f t="shared" si="15"/>
        <v>34055.380000000005</v>
      </c>
      <c r="AG16" s="252">
        <f t="shared" si="14"/>
        <v>34220.416000000005</v>
      </c>
      <c r="AH16" s="232">
        <f t="shared" si="2"/>
        <v>0</v>
      </c>
      <c r="AI16" s="232">
        <f t="shared" si="2"/>
        <v>0</v>
      </c>
      <c r="AJ16" s="296">
        <f>'[4]Т07'!$J$153+'[4]Т07'!$J$209</f>
        <v>214</v>
      </c>
      <c r="AK16" s="215">
        <f t="shared" si="3"/>
        <v>2907.8268000000003</v>
      </c>
      <c r="AL16" s="215">
        <f t="shared" si="4"/>
        <v>868.008</v>
      </c>
      <c r="AM16" s="215">
        <f t="shared" si="5"/>
        <v>4340.04</v>
      </c>
      <c r="AN16" s="215">
        <f t="shared" si="6"/>
        <v>911.4083999999999</v>
      </c>
      <c r="AO16" s="215">
        <f t="shared" si="7"/>
        <v>8766.8808</v>
      </c>
      <c r="AP16" s="215">
        <f t="shared" si="8"/>
        <v>4470.2412</v>
      </c>
      <c r="AQ16" s="215">
        <f t="shared" si="9"/>
        <v>3255.0299999999997</v>
      </c>
      <c r="AR16" s="215">
        <f t="shared" si="10"/>
        <v>3255.0299999999997</v>
      </c>
      <c r="AS16" s="215"/>
      <c r="AT16" s="233">
        <f t="shared" si="13"/>
        <v>399.6</v>
      </c>
      <c r="AU16" s="234"/>
      <c r="AV16" s="234"/>
      <c r="AW16" s="307">
        <v>2126.36</v>
      </c>
      <c r="AX16" s="234">
        <f>111.43+9.43+8.14+56</f>
        <v>185</v>
      </c>
      <c r="AY16" s="129"/>
      <c r="AZ16" s="233"/>
      <c r="BA16" s="233"/>
      <c r="BB16" s="233"/>
      <c r="BC16" s="235">
        <f t="shared" si="11"/>
        <v>31485.425199999998</v>
      </c>
      <c r="BD16" s="297">
        <f>'[4]Т07'!$S$153+'[4]Т07'!$S$209</f>
        <v>53.5</v>
      </c>
      <c r="BE16" s="219">
        <f t="shared" si="12"/>
        <v>31538.925199999998</v>
      </c>
      <c r="BF16" s="219">
        <f t="shared" si="16"/>
        <v>2895.490800000007</v>
      </c>
      <c r="BG16" s="219">
        <f t="shared" si="17"/>
        <v>-3357.8599999999933</v>
      </c>
      <c r="BH16" s="190"/>
    </row>
    <row r="17" spans="1:60" ht="12.75">
      <c r="A17" s="203" t="s">
        <v>50</v>
      </c>
      <c r="B17" s="221">
        <v>4340.04</v>
      </c>
      <c r="C17" s="168">
        <f t="shared" si="0"/>
        <v>37107.342000000004</v>
      </c>
      <c r="D17" s="121">
        <v>165.036</v>
      </c>
      <c r="E17" s="248"/>
      <c r="F17" s="248"/>
      <c r="G17" s="248">
        <v>22622.84</v>
      </c>
      <c r="H17" s="248"/>
      <c r="I17" s="248"/>
      <c r="J17" s="248"/>
      <c r="K17" s="248"/>
      <c r="L17" s="248"/>
      <c r="M17" s="248">
        <v>10986.16</v>
      </c>
      <c r="N17" s="248"/>
      <c r="O17" s="248">
        <v>3810.6</v>
      </c>
      <c r="P17" s="248"/>
      <c r="Q17" s="248"/>
      <c r="R17" s="248"/>
      <c r="S17" s="249"/>
      <c r="T17" s="256"/>
      <c r="U17" s="300">
        <f t="shared" si="1"/>
        <v>37419.6</v>
      </c>
      <c r="V17" s="301">
        <f t="shared" si="1"/>
        <v>0</v>
      </c>
      <c r="W17" s="248">
        <v>3.83</v>
      </c>
      <c r="X17" s="248">
        <v>21018.53</v>
      </c>
      <c r="Y17" s="248">
        <v>5.2</v>
      </c>
      <c r="Z17" s="248">
        <v>8.67</v>
      </c>
      <c r="AA17" s="248">
        <v>10268.52</v>
      </c>
      <c r="AB17" s="248">
        <v>3543.95</v>
      </c>
      <c r="AC17" s="248"/>
      <c r="AD17" s="248"/>
      <c r="AE17" s="249"/>
      <c r="AF17" s="246">
        <f t="shared" si="15"/>
        <v>34848.7</v>
      </c>
      <c r="AG17" s="252">
        <f t="shared" si="14"/>
        <v>35013.736</v>
      </c>
      <c r="AH17" s="232">
        <f t="shared" si="2"/>
        <v>0</v>
      </c>
      <c r="AI17" s="232">
        <f t="shared" si="2"/>
        <v>0</v>
      </c>
      <c r="AJ17" s="296">
        <f>'[4]Т08'!$J$156+'[4]Т08'!$J$213</f>
        <v>214</v>
      </c>
      <c r="AK17" s="215">
        <f t="shared" si="3"/>
        <v>2907.8268000000003</v>
      </c>
      <c r="AL17" s="215">
        <f t="shared" si="4"/>
        <v>868.008</v>
      </c>
      <c r="AM17" s="215">
        <f t="shared" si="5"/>
        <v>4340.04</v>
      </c>
      <c r="AN17" s="215">
        <f t="shared" si="6"/>
        <v>911.4083999999999</v>
      </c>
      <c r="AO17" s="215">
        <f t="shared" si="7"/>
        <v>8766.8808</v>
      </c>
      <c r="AP17" s="215">
        <f t="shared" si="8"/>
        <v>4470.2412</v>
      </c>
      <c r="AQ17" s="215">
        <f t="shared" si="9"/>
        <v>3255.0299999999997</v>
      </c>
      <c r="AR17" s="215">
        <f t="shared" si="10"/>
        <v>3255.0299999999997</v>
      </c>
      <c r="AS17" s="215"/>
      <c r="AT17" s="233">
        <f t="shared" si="13"/>
        <v>399.6</v>
      </c>
      <c r="AU17" s="234"/>
      <c r="AV17" s="234"/>
      <c r="AW17" s="234"/>
      <c r="AX17" s="234"/>
      <c r="AY17" s="129"/>
      <c r="AZ17" s="233"/>
      <c r="BA17" s="233"/>
      <c r="BB17" s="233"/>
      <c r="BC17" s="235">
        <f t="shared" si="11"/>
        <v>29174.065199999997</v>
      </c>
      <c r="BD17" s="297">
        <f>'[4]Т08'!$S$156+'[4]Т08'!$S$213</f>
        <v>53.5</v>
      </c>
      <c r="BE17" s="219">
        <f t="shared" si="12"/>
        <v>29227.565199999997</v>
      </c>
      <c r="BF17" s="219">
        <f t="shared" si="16"/>
        <v>6000.1708</v>
      </c>
      <c r="BG17" s="219">
        <f t="shared" si="17"/>
        <v>-2570.9000000000015</v>
      </c>
      <c r="BH17" s="190"/>
    </row>
    <row r="18" spans="1:60" ht="12.75">
      <c r="A18" s="203" t="s">
        <v>51</v>
      </c>
      <c r="B18" s="221">
        <v>4340.04</v>
      </c>
      <c r="C18" s="168">
        <f t="shared" si="0"/>
        <v>37107.342000000004</v>
      </c>
      <c r="D18" s="255">
        <v>118.116</v>
      </c>
      <c r="E18" s="248"/>
      <c r="F18" s="248"/>
      <c r="G18" s="248">
        <v>22979.72</v>
      </c>
      <c r="H18" s="248"/>
      <c r="I18" s="248"/>
      <c r="J18" s="248"/>
      <c r="K18" s="248"/>
      <c r="L18" s="248"/>
      <c r="M18" s="248">
        <v>11159.66</v>
      </c>
      <c r="N18" s="248"/>
      <c r="O18" s="248">
        <v>3870.91</v>
      </c>
      <c r="P18" s="248"/>
      <c r="Q18" s="248"/>
      <c r="R18" s="248"/>
      <c r="S18" s="249"/>
      <c r="T18" s="253"/>
      <c r="U18" s="253">
        <f t="shared" si="1"/>
        <v>38010.29000000001</v>
      </c>
      <c r="V18" s="254">
        <f t="shared" si="1"/>
        <v>0</v>
      </c>
      <c r="W18" s="248">
        <v>93.3</v>
      </c>
      <c r="X18" s="248">
        <v>20866.96</v>
      </c>
      <c r="Y18" s="248">
        <v>160.93</v>
      </c>
      <c r="Z18" s="248">
        <v>275.57</v>
      </c>
      <c r="AA18" s="248">
        <v>9459.02</v>
      </c>
      <c r="AB18" s="248">
        <v>3512.02</v>
      </c>
      <c r="AC18" s="248"/>
      <c r="AD18" s="248"/>
      <c r="AE18" s="249"/>
      <c r="AF18" s="246">
        <f t="shared" si="15"/>
        <v>34367.799999999996</v>
      </c>
      <c r="AG18" s="252">
        <f t="shared" si="14"/>
        <v>34485.916</v>
      </c>
      <c r="AH18" s="232">
        <f t="shared" si="2"/>
        <v>0</v>
      </c>
      <c r="AI18" s="232">
        <f t="shared" si="2"/>
        <v>0</v>
      </c>
      <c r="AJ18" s="296">
        <f>'[4]Т09'!$J$156+'[4]Т09'!$J$213</f>
        <v>214</v>
      </c>
      <c r="AK18" s="215">
        <f t="shared" si="3"/>
        <v>2907.8268000000003</v>
      </c>
      <c r="AL18" s="215">
        <f t="shared" si="4"/>
        <v>868.008</v>
      </c>
      <c r="AM18" s="215">
        <f t="shared" si="5"/>
        <v>4340.04</v>
      </c>
      <c r="AN18" s="215">
        <f t="shared" si="6"/>
        <v>911.4083999999999</v>
      </c>
      <c r="AO18" s="215">
        <f t="shared" si="7"/>
        <v>8766.8808</v>
      </c>
      <c r="AP18" s="215">
        <f t="shared" si="8"/>
        <v>4470.2412</v>
      </c>
      <c r="AQ18" s="215">
        <f t="shared" si="9"/>
        <v>3255.0299999999997</v>
      </c>
      <c r="AR18" s="215">
        <f t="shared" si="10"/>
        <v>3255.0299999999997</v>
      </c>
      <c r="AS18" s="215"/>
      <c r="AT18" s="233">
        <f t="shared" si="13"/>
        <v>399.6</v>
      </c>
      <c r="AU18" s="234">
        <v>2081</v>
      </c>
      <c r="AV18" s="234"/>
      <c r="AW18" s="234">
        <v>547</v>
      </c>
      <c r="AX18" s="234">
        <f>233.34+72</f>
        <v>305.34000000000003</v>
      </c>
      <c r="AY18" s="129"/>
      <c r="AZ18" s="233"/>
      <c r="BA18" s="233"/>
      <c r="BB18" s="233"/>
      <c r="BC18" s="235">
        <f t="shared" si="11"/>
        <v>32107.405199999997</v>
      </c>
      <c r="BD18" s="297">
        <f>'[4]Т08'!$S$156+'[4]Т08'!$S$213</f>
        <v>53.5</v>
      </c>
      <c r="BE18" s="219">
        <f t="shared" si="12"/>
        <v>32160.905199999997</v>
      </c>
      <c r="BF18" s="219">
        <f t="shared" si="16"/>
        <v>2539.0108</v>
      </c>
      <c r="BG18" s="219">
        <f t="shared" si="17"/>
        <v>-3642.4900000000125</v>
      </c>
      <c r="BH18" s="190"/>
    </row>
    <row r="19" spans="1:59" ht="12.75">
      <c r="A19" s="203" t="s">
        <v>39</v>
      </c>
      <c r="B19" s="221">
        <v>4340.04</v>
      </c>
      <c r="C19" s="168">
        <f t="shared" si="0"/>
        <v>37107.342000000004</v>
      </c>
      <c r="D19" s="255">
        <v>118.116</v>
      </c>
      <c r="E19" s="240"/>
      <c r="F19" s="240"/>
      <c r="G19" s="240">
        <v>22988.5</v>
      </c>
      <c r="H19" s="240"/>
      <c r="I19" s="240"/>
      <c r="J19" s="240"/>
      <c r="K19" s="240"/>
      <c r="L19" s="240"/>
      <c r="M19" s="240">
        <v>11163.98</v>
      </c>
      <c r="N19" s="240"/>
      <c r="O19" s="240">
        <v>3872.46</v>
      </c>
      <c r="P19" s="240"/>
      <c r="Q19" s="240"/>
      <c r="R19" s="240"/>
      <c r="S19" s="256"/>
      <c r="T19" s="257"/>
      <c r="U19" s="258">
        <f t="shared" si="1"/>
        <v>38024.939999999995</v>
      </c>
      <c r="V19" s="259">
        <f t="shared" si="1"/>
        <v>0</v>
      </c>
      <c r="W19" s="240">
        <v>0</v>
      </c>
      <c r="X19" s="240">
        <v>19532.19</v>
      </c>
      <c r="Y19" s="240">
        <v>0</v>
      </c>
      <c r="Z19" s="240">
        <v>0</v>
      </c>
      <c r="AA19" s="240">
        <v>9569.37</v>
      </c>
      <c r="AB19" s="240">
        <v>3426.28</v>
      </c>
      <c r="AC19" s="240"/>
      <c r="AD19" s="240"/>
      <c r="AE19" s="256"/>
      <c r="AF19" s="246">
        <f t="shared" si="15"/>
        <v>32527.839999999997</v>
      </c>
      <c r="AG19" s="252">
        <f t="shared" si="14"/>
        <v>32645.956</v>
      </c>
      <c r="AH19" s="232">
        <f t="shared" si="2"/>
        <v>0</v>
      </c>
      <c r="AI19" s="232">
        <f t="shared" si="2"/>
        <v>0</v>
      </c>
      <c r="AJ19" s="296">
        <f>'[4]Т10'!$J$156+'[4]Т10'!$J$213</f>
        <v>214</v>
      </c>
      <c r="AK19" s="215">
        <f t="shared" si="3"/>
        <v>2907.8268000000003</v>
      </c>
      <c r="AL19" s="215">
        <f t="shared" si="4"/>
        <v>868.008</v>
      </c>
      <c r="AM19" s="215">
        <f t="shared" si="5"/>
        <v>4340.04</v>
      </c>
      <c r="AN19" s="215">
        <f t="shared" si="6"/>
        <v>911.4083999999999</v>
      </c>
      <c r="AO19" s="215">
        <f t="shared" si="7"/>
        <v>8766.8808</v>
      </c>
      <c r="AP19" s="215">
        <f t="shared" si="8"/>
        <v>4470.2412</v>
      </c>
      <c r="AQ19" s="215">
        <f t="shared" si="9"/>
        <v>3255.0299999999997</v>
      </c>
      <c r="AR19" s="215">
        <f t="shared" si="10"/>
        <v>3255.0299999999997</v>
      </c>
      <c r="AS19" s="302">
        <f>B19*1.15</f>
        <v>4991.045999999999</v>
      </c>
      <c r="AT19" s="233">
        <f t="shared" si="13"/>
        <v>399.6</v>
      </c>
      <c r="AU19" s="234">
        <v>1116</v>
      </c>
      <c r="AV19" s="234"/>
      <c r="AW19" s="234">
        <v>1924</v>
      </c>
      <c r="AX19" s="234">
        <f>250</f>
        <v>250</v>
      </c>
      <c r="AY19" s="129"/>
      <c r="AZ19" s="233"/>
      <c r="BA19" s="233"/>
      <c r="BB19" s="233"/>
      <c r="BC19" s="235">
        <f t="shared" si="11"/>
        <v>37455.1112</v>
      </c>
      <c r="BD19" s="297">
        <f>'[4]Т10'!$S$156+'[4]Т10'!$S$213</f>
        <v>53.5</v>
      </c>
      <c r="BE19" s="219">
        <f t="shared" si="12"/>
        <v>37508.6112</v>
      </c>
      <c r="BF19" s="219">
        <f t="shared" si="16"/>
        <v>-4648.655200000001</v>
      </c>
      <c r="BG19" s="219">
        <f t="shared" si="17"/>
        <v>-5497.0999999999985</v>
      </c>
    </row>
    <row r="20" spans="1:59" ht="12.75">
      <c r="A20" s="203" t="s">
        <v>40</v>
      </c>
      <c r="B20" s="221">
        <v>4340.04</v>
      </c>
      <c r="C20" s="168">
        <f t="shared" si="0"/>
        <v>37107.342000000004</v>
      </c>
      <c r="D20" s="255">
        <v>118.116</v>
      </c>
      <c r="E20" s="240"/>
      <c r="F20" s="240"/>
      <c r="G20" s="240">
        <v>22976.33</v>
      </c>
      <c r="H20" s="240"/>
      <c r="I20" s="240"/>
      <c r="J20" s="240"/>
      <c r="K20" s="240"/>
      <c r="L20" s="240"/>
      <c r="M20" s="240">
        <v>11157.98</v>
      </c>
      <c r="N20" s="240"/>
      <c r="O20" s="240">
        <v>3870.34</v>
      </c>
      <c r="P20" s="240"/>
      <c r="Q20" s="240"/>
      <c r="R20" s="240"/>
      <c r="S20" s="256"/>
      <c r="T20" s="257"/>
      <c r="U20" s="258">
        <f t="shared" si="1"/>
        <v>38004.649999999994</v>
      </c>
      <c r="V20" s="259">
        <f t="shared" si="1"/>
        <v>0</v>
      </c>
      <c r="W20" s="240">
        <v>0</v>
      </c>
      <c r="X20" s="240">
        <v>21640.91</v>
      </c>
      <c r="Y20" s="240">
        <v>0</v>
      </c>
      <c r="Z20" s="240">
        <v>0</v>
      </c>
      <c r="AA20" s="240">
        <v>10435.28</v>
      </c>
      <c r="AB20" s="240">
        <v>3569.93</v>
      </c>
      <c r="AC20" s="240"/>
      <c r="AD20" s="240"/>
      <c r="AE20" s="256"/>
      <c r="AF20" s="246">
        <f t="shared" si="15"/>
        <v>35646.12</v>
      </c>
      <c r="AG20" s="252">
        <f t="shared" si="14"/>
        <v>35764.236000000004</v>
      </c>
      <c r="AH20" s="232">
        <f t="shared" si="2"/>
        <v>0</v>
      </c>
      <c r="AI20" s="232">
        <f t="shared" si="2"/>
        <v>0</v>
      </c>
      <c r="AJ20" s="296">
        <f>'[4]Т11'!$J$156+'[4]Т11'!$J$213</f>
        <v>214</v>
      </c>
      <c r="AK20" s="215">
        <f t="shared" si="3"/>
        <v>2907.8268000000003</v>
      </c>
      <c r="AL20" s="215">
        <f t="shared" si="4"/>
        <v>868.008</v>
      </c>
      <c r="AM20" s="215">
        <f t="shared" si="5"/>
        <v>4340.04</v>
      </c>
      <c r="AN20" s="215">
        <f t="shared" si="6"/>
        <v>911.4083999999999</v>
      </c>
      <c r="AO20" s="215">
        <f t="shared" si="7"/>
        <v>8766.8808</v>
      </c>
      <c r="AP20" s="215">
        <f t="shared" si="8"/>
        <v>4470.2412</v>
      </c>
      <c r="AQ20" s="215">
        <f t="shared" si="9"/>
        <v>3255.0299999999997</v>
      </c>
      <c r="AR20" s="215">
        <f t="shared" si="10"/>
        <v>3255.0299999999997</v>
      </c>
      <c r="AS20" s="302">
        <f>B20*1.15</f>
        <v>4991.045999999999</v>
      </c>
      <c r="AT20" s="233">
        <f t="shared" si="13"/>
        <v>399.6</v>
      </c>
      <c r="AU20" s="234"/>
      <c r="AV20" s="234"/>
      <c r="AW20" s="234">
        <v>598</v>
      </c>
      <c r="AX20" s="234">
        <f>17.56</f>
        <v>17.56</v>
      </c>
      <c r="AY20" s="129"/>
      <c r="AZ20" s="233"/>
      <c r="BA20" s="233"/>
      <c r="BB20" s="233"/>
      <c r="BC20" s="235">
        <f t="shared" si="11"/>
        <v>34780.6712</v>
      </c>
      <c r="BD20" s="297">
        <f>'[4]Т11'!$S$156+'[4]Т11'!$S$213</f>
        <v>53.5</v>
      </c>
      <c r="BE20" s="219">
        <f t="shared" si="12"/>
        <v>34834.1712</v>
      </c>
      <c r="BF20" s="219">
        <f t="shared" si="16"/>
        <v>1144.0648000000074</v>
      </c>
      <c r="BG20" s="219">
        <f t="shared" si="17"/>
        <v>-2358.5299999999916</v>
      </c>
    </row>
    <row r="21" spans="1:59" ht="13.5" thickBot="1">
      <c r="A21" s="203" t="s">
        <v>41</v>
      </c>
      <c r="B21" s="221">
        <v>4340.04</v>
      </c>
      <c r="C21" s="168">
        <f>B21*8.55</f>
        <v>37107.342000000004</v>
      </c>
      <c r="D21" s="477">
        <v>118.11600000000001</v>
      </c>
      <c r="E21" s="260"/>
      <c r="F21" s="260"/>
      <c r="G21" s="260">
        <v>22953.13</v>
      </c>
      <c r="H21" s="260"/>
      <c r="I21" s="260"/>
      <c r="J21" s="260"/>
      <c r="K21" s="260"/>
      <c r="L21" s="260"/>
      <c r="M21" s="260">
        <v>11146.6</v>
      </c>
      <c r="N21" s="260"/>
      <c r="O21" s="260">
        <v>3866.26</v>
      </c>
      <c r="P21" s="260"/>
      <c r="Q21" s="260"/>
      <c r="R21" s="260"/>
      <c r="S21" s="261"/>
      <c r="T21" s="262"/>
      <c r="U21" s="258">
        <f t="shared" si="1"/>
        <v>37965.990000000005</v>
      </c>
      <c r="V21" s="259">
        <f t="shared" si="1"/>
        <v>0</v>
      </c>
      <c r="W21" s="240">
        <v>0</v>
      </c>
      <c r="X21" s="240">
        <v>24137.76</v>
      </c>
      <c r="Y21" s="240">
        <v>0</v>
      </c>
      <c r="Z21" s="240">
        <v>0</v>
      </c>
      <c r="AA21" s="240">
        <v>13676.75</v>
      </c>
      <c r="AB21" s="240">
        <v>4055.07</v>
      </c>
      <c r="AC21" s="240"/>
      <c r="AD21" s="240"/>
      <c r="AE21" s="256"/>
      <c r="AF21" s="246">
        <f t="shared" si="15"/>
        <v>41869.579999999994</v>
      </c>
      <c r="AG21" s="252">
        <f t="shared" si="14"/>
        <v>41987.695999999996</v>
      </c>
      <c r="AH21" s="232">
        <f t="shared" si="2"/>
        <v>0</v>
      </c>
      <c r="AI21" s="232">
        <f t="shared" si="2"/>
        <v>0</v>
      </c>
      <c r="AJ21" s="296">
        <f>'[4]Т12'!$J$162+'[4]Т12'!$J$180+'[4]Т12'!$J$237</f>
        <v>6851.42</v>
      </c>
      <c r="AK21" s="215">
        <f t="shared" si="3"/>
        <v>2907.8268000000003</v>
      </c>
      <c r="AL21" s="215">
        <f t="shared" si="4"/>
        <v>868.008</v>
      </c>
      <c r="AM21" s="215">
        <f t="shared" si="5"/>
        <v>4340.04</v>
      </c>
      <c r="AN21" s="215">
        <f t="shared" si="6"/>
        <v>911.4083999999999</v>
      </c>
      <c r="AO21" s="215">
        <f t="shared" si="7"/>
        <v>8766.8808</v>
      </c>
      <c r="AP21" s="215">
        <f t="shared" si="8"/>
        <v>4470.2412</v>
      </c>
      <c r="AQ21" s="215">
        <f t="shared" si="9"/>
        <v>3255.0299999999997</v>
      </c>
      <c r="AR21" s="215">
        <f t="shared" si="10"/>
        <v>3255.0299999999997</v>
      </c>
      <c r="AS21" s="302">
        <f>B21*1.15</f>
        <v>4991.045999999999</v>
      </c>
      <c r="AT21" s="233">
        <f>0.45*888</f>
        <v>399.6</v>
      </c>
      <c r="AU21" s="234">
        <v>2672</v>
      </c>
      <c r="AV21" s="234"/>
      <c r="AW21" s="234"/>
      <c r="AX21" s="234">
        <f>26+44+1287+44+525</f>
        <v>1926</v>
      </c>
      <c r="AY21" s="129"/>
      <c r="AZ21" s="233"/>
      <c r="BA21" s="233"/>
      <c r="BB21" s="233"/>
      <c r="BC21" s="235">
        <f>SUM(AK21:BA21)</f>
        <v>38763.1112</v>
      </c>
      <c r="BD21" s="297">
        <f>'[4]Т12'!$S$162+'[4]Т12'!$S$180+'[4]Т12'!$S$237</f>
        <v>1712.855</v>
      </c>
      <c r="BE21" s="219">
        <f t="shared" si="12"/>
        <v>40475.9662</v>
      </c>
      <c r="BF21" s="219">
        <f t="shared" si="16"/>
        <v>8363.149799999992</v>
      </c>
      <c r="BG21" s="219">
        <f t="shared" si="17"/>
        <v>3903.5899999999892</v>
      </c>
    </row>
    <row r="22" spans="1:59" s="23" customFormat="1" ht="13.5" thickBot="1">
      <c r="A22" s="263" t="s">
        <v>3</v>
      </c>
      <c r="B22" s="264"/>
      <c r="C22" s="265">
        <f aca="true" t="shared" si="18" ref="C22:BE22">SUM(C10:C21)</f>
        <v>445300.074</v>
      </c>
      <c r="D22" s="265">
        <f t="shared" si="18"/>
        <v>1792.7520000000002</v>
      </c>
      <c r="E22" s="265">
        <f t="shared" si="18"/>
        <v>-1.39</v>
      </c>
      <c r="F22" s="265">
        <f t="shared" si="18"/>
        <v>0</v>
      </c>
      <c r="G22" s="265">
        <f t="shared" si="18"/>
        <v>272998.37</v>
      </c>
      <c r="H22" s="265">
        <f t="shared" si="18"/>
        <v>0</v>
      </c>
      <c r="I22" s="265">
        <f t="shared" si="18"/>
        <v>-1.71</v>
      </c>
      <c r="J22" s="265">
        <f t="shared" si="18"/>
        <v>0</v>
      </c>
      <c r="K22" s="265">
        <f t="shared" si="18"/>
        <v>-2.86</v>
      </c>
      <c r="L22" s="265">
        <f t="shared" si="18"/>
        <v>0</v>
      </c>
      <c r="M22" s="265">
        <f t="shared" si="18"/>
        <v>132571.18</v>
      </c>
      <c r="N22" s="265">
        <f t="shared" si="18"/>
        <v>0</v>
      </c>
      <c r="O22" s="265">
        <f t="shared" si="18"/>
        <v>45984.39000000001</v>
      </c>
      <c r="P22" s="265">
        <f t="shared" si="18"/>
        <v>0</v>
      </c>
      <c r="Q22" s="265">
        <f t="shared" si="18"/>
        <v>0</v>
      </c>
      <c r="R22" s="265">
        <f t="shared" si="18"/>
        <v>0</v>
      </c>
      <c r="S22" s="265">
        <f t="shared" si="18"/>
        <v>0</v>
      </c>
      <c r="T22" s="265">
        <f t="shared" si="18"/>
        <v>0</v>
      </c>
      <c r="U22" s="265">
        <f t="shared" si="18"/>
        <v>451547.98</v>
      </c>
      <c r="V22" s="265">
        <f t="shared" si="18"/>
        <v>0</v>
      </c>
      <c r="W22" s="265">
        <f t="shared" si="18"/>
        <v>6656.070000000001</v>
      </c>
      <c r="X22" s="265">
        <f t="shared" si="18"/>
        <v>232270.29</v>
      </c>
      <c r="Y22" s="265">
        <f t="shared" si="18"/>
        <v>7018.27</v>
      </c>
      <c r="Z22" s="265">
        <f t="shared" si="18"/>
        <v>14002.13</v>
      </c>
      <c r="AA22" s="265">
        <f t="shared" si="18"/>
        <v>133573.02000000002</v>
      </c>
      <c r="AB22" s="265">
        <f t="shared" si="18"/>
        <v>44708.63</v>
      </c>
      <c r="AC22" s="265">
        <f t="shared" si="18"/>
        <v>0</v>
      </c>
      <c r="AD22" s="265">
        <f t="shared" si="18"/>
        <v>0</v>
      </c>
      <c r="AE22" s="265">
        <f t="shared" si="18"/>
        <v>0</v>
      </c>
      <c r="AF22" s="265">
        <f t="shared" si="18"/>
        <v>438228.41</v>
      </c>
      <c r="AG22" s="265">
        <f t="shared" si="18"/>
        <v>440021.162</v>
      </c>
      <c r="AH22" s="265">
        <f t="shared" si="18"/>
        <v>0</v>
      </c>
      <c r="AI22" s="265">
        <f t="shared" si="18"/>
        <v>0</v>
      </c>
      <c r="AJ22" s="265">
        <f t="shared" si="18"/>
        <v>8749.42</v>
      </c>
      <c r="AK22" s="265">
        <f t="shared" si="18"/>
        <v>34894.859599999996</v>
      </c>
      <c r="AL22" s="265">
        <f t="shared" si="18"/>
        <v>10416.375999999998</v>
      </c>
      <c r="AM22" s="265">
        <f t="shared" si="18"/>
        <v>52081.880000000005</v>
      </c>
      <c r="AN22" s="265">
        <f t="shared" si="18"/>
        <v>10937.194800000001</v>
      </c>
      <c r="AO22" s="265">
        <f t="shared" si="18"/>
        <v>105205.3976</v>
      </c>
      <c r="AP22" s="265">
        <f t="shared" si="18"/>
        <v>53644.336400000015</v>
      </c>
      <c r="AQ22" s="265">
        <f t="shared" si="18"/>
        <v>39061.40999999999</v>
      </c>
      <c r="AR22" s="265">
        <f t="shared" si="18"/>
        <v>39061.40999999999</v>
      </c>
      <c r="AS22" s="265">
        <f t="shared" si="18"/>
        <v>29947.885999999995</v>
      </c>
      <c r="AT22" s="265">
        <f t="shared" si="18"/>
        <v>4395.599999999999</v>
      </c>
      <c r="AU22" s="265">
        <f t="shared" si="18"/>
        <v>13785</v>
      </c>
      <c r="AV22" s="265">
        <f t="shared" si="18"/>
        <v>806</v>
      </c>
      <c r="AW22" s="265">
        <f t="shared" si="18"/>
        <v>20594.776</v>
      </c>
      <c r="AX22" s="265">
        <f t="shared" si="18"/>
        <v>4748.33</v>
      </c>
      <c r="AY22" s="265">
        <f t="shared" si="18"/>
        <v>0</v>
      </c>
      <c r="AZ22" s="265">
        <f t="shared" si="18"/>
        <v>0</v>
      </c>
      <c r="BA22" s="265">
        <f t="shared" si="18"/>
        <v>0</v>
      </c>
      <c r="BB22" s="265">
        <f t="shared" si="18"/>
        <v>0</v>
      </c>
      <c r="BC22" s="265">
        <f t="shared" si="18"/>
        <v>419580.45639999997</v>
      </c>
      <c r="BD22" s="265">
        <f t="shared" si="18"/>
        <v>2187.355</v>
      </c>
      <c r="BE22" s="265">
        <f t="shared" si="18"/>
        <v>421767.8114</v>
      </c>
      <c r="BF22" s="265">
        <f>SUM(BF10:BF21)</f>
        <v>27002.770600000014</v>
      </c>
      <c r="BG22" s="265">
        <f>SUM(BG10:BG21)</f>
        <v>-13319.570000000007</v>
      </c>
    </row>
    <row r="23" spans="1:59" s="23" customFormat="1" ht="13.5" thickBot="1">
      <c r="A23" s="266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8"/>
      <c r="BF23" s="267"/>
      <c r="BG23" s="269"/>
    </row>
    <row r="24" spans="1:59" s="23" customFormat="1" ht="13.5" thickBot="1">
      <c r="A24" s="26" t="s">
        <v>52</v>
      </c>
      <c r="B24" s="267"/>
      <c r="C24" s="270">
        <f aca="true" t="shared" si="19" ref="C24:AD24">C22+C8</f>
        <v>1459045.4740000002</v>
      </c>
      <c r="D24" s="270">
        <f t="shared" si="19"/>
        <v>118824.90901359999</v>
      </c>
      <c r="E24" s="270">
        <f t="shared" si="19"/>
        <v>85762.05999999998</v>
      </c>
      <c r="F24" s="270">
        <f t="shared" si="19"/>
        <v>17754.22</v>
      </c>
      <c r="G24" s="270">
        <f t="shared" si="19"/>
        <v>272998.37</v>
      </c>
      <c r="H24" s="270">
        <f t="shared" si="19"/>
        <v>0</v>
      </c>
      <c r="I24" s="270">
        <f t="shared" si="19"/>
        <v>116057.09</v>
      </c>
      <c r="J24" s="270">
        <f t="shared" si="19"/>
        <v>24034.300000000003</v>
      </c>
      <c r="K24" s="270">
        <f t="shared" si="19"/>
        <v>193242.77000000002</v>
      </c>
      <c r="L24" s="270">
        <f t="shared" si="19"/>
        <v>40012.75</v>
      </c>
      <c r="M24" s="270">
        <f t="shared" si="19"/>
        <v>411573.38</v>
      </c>
      <c r="N24" s="270">
        <f t="shared" si="19"/>
        <v>57766.579999999994</v>
      </c>
      <c r="O24" s="270">
        <f t="shared" si="19"/>
        <v>114613.44</v>
      </c>
      <c r="P24" s="270">
        <f t="shared" si="19"/>
        <v>14202.67</v>
      </c>
      <c r="Q24" s="270">
        <f t="shared" si="19"/>
        <v>0</v>
      </c>
      <c r="R24" s="270">
        <f t="shared" si="19"/>
        <v>0</v>
      </c>
      <c r="S24" s="270">
        <f t="shared" si="19"/>
        <v>0</v>
      </c>
      <c r="T24" s="270">
        <f t="shared" si="19"/>
        <v>0</v>
      </c>
      <c r="U24" s="270">
        <f t="shared" si="19"/>
        <v>1194247.11</v>
      </c>
      <c r="V24" s="270">
        <f t="shared" si="19"/>
        <v>153770.52</v>
      </c>
      <c r="W24" s="270">
        <f t="shared" si="19"/>
        <v>85622.92000000001</v>
      </c>
      <c r="X24" s="270">
        <f t="shared" si="19"/>
        <v>232270.29</v>
      </c>
      <c r="Y24" s="270">
        <f t="shared" si="19"/>
        <v>113851.27</v>
      </c>
      <c r="Z24" s="270">
        <f t="shared" si="19"/>
        <v>191886.43</v>
      </c>
      <c r="AA24" s="270">
        <f t="shared" si="19"/>
        <v>392026.92000000004</v>
      </c>
      <c r="AB24" s="270">
        <f t="shared" si="19"/>
        <v>113337.68</v>
      </c>
      <c r="AC24" s="270">
        <f t="shared" si="19"/>
        <v>0</v>
      </c>
      <c r="AD24" s="270">
        <f t="shared" si="19"/>
        <v>0</v>
      </c>
      <c r="AE24" s="270">
        <f>AE22+AF8</f>
        <v>685316.91</v>
      </c>
      <c r="AF24" s="270" t="e">
        <f>AF22+#REF!</f>
        <v>#REF!</v>
      </c>
      <c r="AG24" s="270">
        <f aca="true" t="shared" si="20" ref="AG24:BG24">AG22+AG8</f>
        <v>1396140.7490136</v>
      </c>
      <c r="AH24" s="270">
        <f t="shared" si="20"/>
        <v>0</v>
      </c>
      <c r="AI24" s="270">
        <f t="shared" si="20"/>
        <v>0</v>
      </c>
      <c r="AJ24" s="270">
        <f t="shared" si="20"/>
        <v>8749.42</v>
      </c>
      <c r="AK24" s="270">
        <f t="shared" si="20"/>
        <v>104170.27879999999</v>
      </c>
      <c r="AL24" s="270">
        <f t="shared" si="20"/>
        <v>33629.392912079995</v>
      </c>
      <c r="AM24" s="270">
        <f t="shared" si="20"/>
        <v>167081.57967437402</v>
      </c>
      <c r="AN24" s="270">
        <f t="shared" si="20"/>
        <v>10937.194800000001</v>
      </c>
      <c r="AO24" s="270">
        <f t="shared" si="20"/>
        <v>219909.09941109095</v>
      </c>
      <c r="AP24" s="270">
        <f t="shared" si="20"/>
        <v>310243.13240527996</v>
      </c>
      <c r="AQ24" s="270">
        <f t="shared" si="20"/>
        <v>39061.40999999999</v>
      </c>
      <c r="AR24" s="270">
        <f t="shared" si="20"/>
        <v>39061.40999999999</v>
      </c>
      <c r="AS24" s="270">
        <f t="shared" si="20"/>
        <v>29947.885999999995</v>
      </c>
      <c r="AT24" s="270">
        <f t="shared" si="20"/>
        <v>9190.8</v>
      </c>
      <c r="AU24" s="270">
        <f t="shared" si="20"/>
        <v>198707.5568</v>
      </c>
      <c r="AV24" s="270">
        <f t="shared" si="20"/>
        <v>806</v>
      </c>
      <c r="AW24" s="270">
        <f t="shared" si="20"/>
        <v>79254.276</v>
      </c>
      <c r="AX24" s="270">
        <f t="shared" si="20"/>
        <v>66942.2108</v>
      </c>
      <c r="AY24" s="270">
        <f t="shared" si="20"/>
        <v>32475.3552</v>
      </c>
      <c r="AZ24" s="270">
        <f t="shared" si="20"/>
        <v>0</v>
      </c>
      <c r="BA24" s="270">
        <f t="shared" si="20"/>
        <v>119508</v>
      </c>
      <c r="BB24" s="270">
        <f t="shared" si="20"/>
        <v>21511.44</v>
      </c>
      <c r="BC24" s="270">
        <f t="shared" si="20"/>
        <v>1482437.022802825</v>
      </c>
      <c r="BD24" s="270">
        <f t="shared" si="20"/>
        <v>2262.355</v>
      </c>
      <c r="BE24" s="271">
        <f t="shared" si="20"/>
        <v>1077904.823402825</v>
      </c>
      <c r="BF24" s="270">
        <f t="shared" si="20"/>
        <v>-79509.20878922495</v>
      </c>
      <c r="BG24" s="272">
        <f t="shared" si="20"/>
        <v>-70701.79000000004</v>
      </c>
    </row>
    <row r="25" spans="1:59" ht="12.75">
      <c r="A25" s="5" t="s">
        <v>126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1"/>
      <c r="BF25" s="199"/>
      <c r="BG25" s="202"/>
    </row>
    <row r="26" spans="1:63" ht="12.75">
      <c r="A26" s="203" t="s">
        <v>43</v>
      </c>
      <c r="B26" s="221">
        <v>4340.04</v>
      </c>
      <c r="C26" s="168">
        <f>B26*8.55</f>
        <v>37107.342000000004</v>
      </c>
      <c r="D26" s="477">
        <v>118.11600000000001</v>
      </c>
      <c r="E26" s="240"/>
      <c r="F26" s="240"/>
      <c r="G26" s="240">
        <v>22943.35</v>
      </c>
      <c r="H26" s="240"/>
      <c r="I26" s="240"/>
      <c r="J26" s="240"/>
      <c r="K26" s="240"/>
      <c r="L26" s="240"/>
      <c r="M26" s="240">
        <v>11141.8</v>
      </c>
      <c r="N26" s="240"/>
      <c r="O26" s="240">
        <v>3864.54</v>
      </c>
      <c r="P26" s="240"/>
      <c r="Q26" s="240"/>
      <c r="R26" s="240"/>
      <c r="S26" s="256"/>
      <c r="T26" s="262"/>
      <c r="U26" s="258">
        <f aca="true" t="shared" si="21" ref="U26:V31">E26+G26+I26+K26+M26+O26+Q26+S26</f>
        <v>37949.689999999995</v>
      </c>
      <c r="V26" s="259">
        <f t="shared" si="21"/>
        <v>0</v>
      </c>
      <c r="W26" s="240">
        <v>0</v>
      </c>
      <c r="X26" s="240">
        <v>19583</v>
      </c>
      <c r="Y26" s="240">
        <v>0</v>
      </c>
      <c r="Z26" s="240">
        <v>0</v>
      </c>
      <c r="AA26" s="240">
        <v>10995.98</v>
      </c>
      <c r="AB26" s="240">
        <v>5348.46</v>
      </c>
      <c r="AC26" s="240"/>
      <c r="AD26" s="240"/>
      <c r="AE26" s="256"/>
      <c r="AF26" s="246">
        <f aca="true" t="shared" si="22" ref="AF26:AF31">SUM(W26:AE26)</f>
        <v>35927.44</v>
      </c>
      <c r="AG26" s="252">
        <f aca="true" t="shared" si="23" ref="AG26:AG37">D26+V26+AF26</f>
        <v>36045.556000000004</v>
      </c>
      <c r="AH26" s="232">
        <f aca="true" t="shared" si="24" ref="AH26:AI37">AC26</f>
        <v>0</v>
      </c>
      <c r="AI26" s="232">
        <f t="shared" si="24"/>
        <v>0</v>
      </c>
      <c r="AJ26" s="296">
        <f>'[6]Т01'!$J$160+'[6]Т01'!$J$178+'[6]Т01'!$J$235</f>
        <v>214</v>
      </c>
      <c r="AK26" s="215">
        <f>0.67*B26</f>
        <v>2907.8268000000003</v>
      </c>
      <c r="AL26" s="215">
        <f aca="true" t="shared" si="25" ref="AL26:AL37">B26*0.2</f>
        <v>868.008</v>
      </c>
      <c r="AM26" s="215">
        <f aca="true" t="shared" si="26" ref="AM26:AM37">B26*1</f>
        <v>4340.04</v>
      </c>
      <c r="AN26" s="215">
        <f aca="true" t="shared" si="27" ref="AN26:AN37">B26*0.21</f>
        <v>911.4083999999999</v>
      </c>
      <c r="AO26" s="215">
        <f aca="true" t="shared" si="28" ref="AO26:AO37">2.02*B26</f>
        <v>8766.8808</v>
      </c>
      <c r="AP26" s="215">
        <f aca="true" t="shared" si="29" ref="AP26:AP37">B26*1.03</f>
        <v>4470.2412</v>
      </c>
      <c r="AQ26" s="215">
        <f aca="true" t="shared" si="30" ref="AQ26:AQ37">B26*0.75</f>
        <v>3255.0299999999997</v>
      </c>
      <c r="AR26" s="215">
        <f aca="true" t="shared" si="31" ref="AR26:AR37">B26*0.75</f>
        <v>3255.0299999999997</v>
      </c>
      <c r="AS26" s="302">
        <f>B26*1.15</f>
        <v>4991.045999999999</v>
      </c>
      <c r="AT26" s="233">
        <f>0.45*888</f>
        <v>399.6</v>
      </c>
      <c r="AU26" s="478">
        <v>15810</v>
      </c>
      <c r="AV26" s="234"/>
      <c r="AW26" s="234"/>
      <c r="AX26" s="234">
        <f>300+2381</f>
        <v>2681</v>
      </c>
      <c r="AY26" s="479"/>
      <c r="AZ26" s="479"/>
      <c r="BA26" s="479"/>
      <c r="BB26" s="233"/>
      <c r="BC26" s="247">
        <f>SUM(AK26:BB26)</f>
        <v>52656.1112</v>
      </c>
      <c r="BD26" s="297">
        <f>'[6]Т01'!$S$160+'[6]Т01'!$S$178+'[6]Т01'!$S$235</f>
        <v>53.5</v>
      </c>
      <c r="BE26" s="218">
        <f>BC26+BD26</f>
        <v>52709.6112</v>
      </c>
      <c r="BF26" s="219">
        <f>AG26+AJ26-BE26</f>
        <v>-16450.055199999995</v>
      </c>
      <c r="BG26" s="219">
        <f>AF26-U26</f>
        <v>-2022.2499999999927</v>
      </c>
      <c r="BH26" s="70"/>
      <c r="BI26" s="220"/>
      <c r="BJ26" s="70"/>
      <c r="BK26" s="220"/>
    </row>
    <row r="27" spans="1:61" ht="12.75">
      <c r="A27" s="203" t="s">
        <v>44</v>
      </c>
      <c r="B27" s="221">
        <v>4340.04</v>
      </c>
      <c r="C27" s="168">
        <f>B27*8.55</f>
        <v>37107.342000000004</v>
      </c>
      <c r="D27" s="477">
        <v>118.11600000000001</v>
      </c>
      <c r="E27" s="248"/>
      <c r="F27" s="248"/>
      <c r="G27" s="248">
        <v>22941.59</v>
      </c>
      <c r="H27" s="248"/>
      <c r="I27" s="248"/>
      <c r="J27" s="248"/>
      <c r="K27" s="248"/>
      <c r="L27" s="248"/>
      <c r="M27" s="248">
        <v>11140.93</v>
      </c>
      <c r="N27" s="248"/>
      <c r="O27" s="248">
        <v>3864.22</v>
      </c>
      <c r="P27" s="248"/>
      <c r="Q27" s="248"/>
      <c r="R27" s="248"/>
      <c r="S27" s="249"/>
      <c r="T27" s="262"/>
      <c r="U27" s="258">
        <f t="shared" si="21"/>
        <v>37946.740000000005</v>
      </c>
      <c r="V27" s="259">
        <f t="shared" si="21"/>
        <v>0</v>
      </c>
      <c r="W27" s="248">
        <v>0</v>
      </c>
      <c r="X27" s="248">
        <v>24893.55</v>
      </c>
      <c r="Y27" s="248">
        <v>0</v>
      </c>
      <c r="Z27" s="248">
        <v>0</v>
      </c>
      <c r="AA27" s="248">
        <v>13538.31</v>
      </c>
      <c r="AB27" s="248">
        <v>3577.19</v>
      </c>
      <c r="AC27" s="248"/>
      <c r="AD27" s="248"/>
      <c r="AE27" s="249"/>
      <c r="AF27" s="246">
        <f t="shared" si="22"/>
        <v>42009.05</v>
      </c>
      <c r="AG27" s="252">
        <f t="shared" si="23"/>
        <v>42127.166000000005</v>
      </c>
      <c r="AH27" s="232">
        <f t="shared" si="24"/>
        <v>0</v>
      </c>
      <c r="AI27" s="232">
        <f t="shared" si="24"/>
        <v>0</v>
      </c>
      <c r="AJ27" s="296">
        <f>'[6]Т01'!$J$160+'[6]Т01'!$J$178+'[6]Т01'!$J$235</f>
        <v>214</v>
      </c>
      <c r="AK27" s="210">
        <f>0.67*B27</f>
        <v>2907.8268000000003</v>
      </c>
      <c r="AL27" s="215">
        <f t="shared" si="25"/>
        <v>868.008</v>
      </c>
      <c r="AM27" s="215">
        <f t="shared" si="26"/>
        <v>4340.04</v>
      </c>
      <c r="AN27" s="215">
        <f t="shared" si="27"/>
        <v>911.4083999999999</v>
      </c>
      <c r="AO27" s="215">
        <f t="shared" si="28"/>
        <v>8766.8808</v>
      </c>
      <c r="AP27" s="215">
        <f t="shared" si="29"/>
        <v>4470.2412</v>
      </c>
      <c r="AQ27" s="215">
        <f t="shared" si="30"/>
        <v>3255.0299999999997</v>
      </c>
      <c r="AR27" s="215">
        <f t="shared" si="31"/>
        <v>3255.0299999999997</v>
      </c>
      <c r="AS27" s="302">
        <f>B27*1.15</f>
        <v>4991.045999999999</v>
      </c>
      <c r="AT27" s="233">
        <f>0.45*888</f>
        <v>399.6</v>
      </c>
      <c r="AU27" s="478">
        <v>3735</v>
      </c>
      <c r="AV27" s="234"/>
      <c r="AW27" s="234"/>
      <c r="AX27" s="234">
        <f>1736+400</f>
        <v>2136</v>
      </c>
      <c r="AY27" s="479"/>
      <c r="AZ27" s="479"/>
      <c r="BA27" s="479"/>
      <c r="BB27" s="233"/>
      <c r="BC27" s="235">
        <f>SUM(AK27:BB27)</f>
        <v>40036.1112</v>
      </c>
      <c r="BD27" s="297">
        <f>'[6]Т01'!$S$160+'[6]Т01'!$S$178+'[6]Т01'!$S$235</f>
        <v>53.5</v>
      </c>
      <c r="BE27" s="218">
        <f aca="true" t="shared" si="32" ref="BE27:BE37">BC27+BD27</f>
        <v>40089.6112</v>
      </c>
      <c r="BF27" s="219">
        <f aca="true" t="shared" si="33" ref="BF27:BF37">AG27+AJ27-BE27</f>
        <v>2251.5548000000053</v>
      </c>
      <c r="BG27" s="219">
        <f aca="true" t="shared" si="34" ref="BG27:BG37">AF27-U27</f>
        <v>4062.3099999999977</v>
      </c>
      <c r="BH27" s="220"/>
      <c r="BI27" s="224"/>
    </row>
    <row r="28" spans="1:61" ht="12.75">
      <c r="A28" s="203" t="s">
        <v>45</v>
      </c>
      <c r="B28" s="221">
        <v>4340.04</v>
      </c>
      <c r="C28" s="168">
        <f>B28*8.55</f>
        <v>37107.342000000004</v>
      </c>
      <c r="D28" s="477">
        <v>118.11600000000001</v>
      </c>
      <c r="E28" s="248"/>
      <c r="F28" s="248"/>
      <c r="G28" s="248">
        <v>22938.22</v>
      </c>
      <c r="H28" s="248"/>
      <c r="I28" s="248"/>
      <c r="J28" s="248"/>
      <c r="K28" s="248"/>
      <c r="L28" s="248"/>
      <c r="M28" s="248">
        <v>11139.28</v>
      </c>
      <c r="N28" s="248"/>
      <c r="O28" s="248">
        <v>3863.64</v>
      </c>
      <c r="P28" s="248"/>
      <c r="Q28" s="248"/>
      <c r="R28" s="248"/>
      <c r="S28" s="249"/>
      <c r="T28" s="262"/>
      <c r="U28" s="258">
        <f t="shared" si="21"/>
        <v>37941.14</v>
      </c>
      <c r="V28" s="259">
        <f t="shared" si="21"/>
        <v>0</v>
      </c>
      <c r="W28" s="240">
        <v>0</v>
      </c>
      <c r="X28" s="240">
        <v>20482.08</v>
      </c>
      <c r="Y28" s="240">
        <v>0</v>
      </c>
      <c r="Z28" s="240">
        <v>0</v>
      </c>
      <c r="AA28" s="240">
        <v>11271.92</v>
      </c>
      <c r="AB28" s="240">
        <v>4538.87</v>
      </c>
      <c r="AC28" s="240"/>
      <c r="AD28" s="240"/>
      <c r="AE28" s="256"/>
      <c r="AF28" s="246">
        <f t="shared" si="22"/>
        <v>36292.87</v>
      </c>
      <c r="AG28" s="252">
        <f t="shared" si="23"/>
        <v>36410.986000000004</v>
      </c>
      <c r="AH28" s="232">
        <f t="shared" si="24"/>
        <v>0</v>
      </c>
      <c r="AI28" s="232">
        <f t="shared" si="24"/>
        <v>0</v>
      </c>
      <c r="AJ28" s="296">
        <f>'[6]Т03'!$J$161+'[6]Т03'!$J$179+'[6]Т03'!$J$236</f>
        <v>2914</v>
      </c>
      <c r="AK28" s="210">
        <f>0.67*B28</f>
        <v>2907.8268000000003</v>
      </c>
      <c r="AL28" s="215">
        <f t="shared" si="25"/>
        <v>868.008</v>
      </c>
      <c r="AM28" s="215">
        <f t="shared" si="26"/>
        <v>4340.04</v>
      </c>
      <c r="AN28" s="215">
        <f t="shared" si="27"/>
        <v>911.4083999999999</v>
      </c>
      <c r="AO28" s="215">
        <f t="shared" si="28"/>
        <v>8766.8808</v>
      </c>
      <c r="AP28" s="215">
        <f t="shared" si="29"/>
        <v>4470.2412</v>
      </c>
      <c r="AQ28" s="215">
        <f t="shared" si="30"/>
        <v>3255.0299999999997</v>
      </c>
      <c r="AR28" s="215">
        <f t="shared" si="31"/>
        <v>3255.0299999999997</v>
      </c>
      <c r="AS28" s="302">
        <f>B28*1.15</f>
        <v>4991.045999999999</v>
      </c>
      <c r="AT28" s="233">
        <f>0.45*888</f>
        <v>399.6</v>
      </c>
      <c r="AU28" s="478"/>
      <c r="AV28" s="234"/>
      <c r="AW28" s="234">
        <f>1338.82</f>
        <v>1338.82</v>
      </c>
      <c r="AX28" s="234">
        <f>1780+180+102.51</f>
        <v>2062.51</v>
      </c>
      <c r="AY28" s="479"/>
      <c r="AZ28" s="479"/>
      <c r="BA28" s="479"/>
      <c r="BB28" s="233"/>
      <c r="BC28" s="247">
        <f>SUM(AK28:BB28)</f>
        <v>37566.4412</v>
      </c>
      <c r="BD28" s="297">
        <f>'[6]Т03'!$S$161+'[6]Т03'!$S$179+'[6]Т03'!$S$236</f>
        <v>728.5</v>
      </c>
      <c r="BE28" s="218">
        <f t="shared" si="32"/>
        <v>38294.9412</v>
      </c>
      <c r="BF28" s="219">
        <f t="shared" si="33"/>
        <v>1030.0448000000033</v>
      </c>
      <c r="BG28" s="219">
        <f t="shared" si="34"/>
        <v>-1648.2699999999968</v>
      </c>
      <c r="BH28" s="220"/>
      <c r="BI28" s="224"/>
    </row>
    <row r="29" spans="1:61" ht="12.75">
      <c r="A29" s="203" t="s">
        <v>46</v>
      </c>
      <c r="B29" s="221">
        <v>4340.04</v>
      </c>
      <c r="C29" s="168">
        <f>B29*8.55</f>
        <v>37107.342000000004</v>
      </c>
      <c r="D29" s="477">
        <v>118.11600000000001</v>
      </c>
      <c r="E29" s="248"/>
      <c r="F29" s="248"/>
      <c r="G29" s="248">
        <v>22938.22</v>
      </c>
      <c r="H29" s="248"/>
      <c r="I29" s="248"/>
      <c r="J29" s="248"/>
      <c r="K29" s="248"/>
      <c r="L29" s="248"/>
      <c r="M29" s="248">
        <v>11139.28</v>
      </c>
      <c r="N29" s="248"/>
      <c r="O29" s="248">
        <v>3863.64</v>
      </c>
      <c r="P29" s="248"/>
      <c r="Q29" s="248"/>
      <c r="R29" s="248"/>
      <c r="S29" s="249"/>
      <c r="T29" s="262"/>
      <c r="U29" s="258">
        <f t="shared" si="21"/>
        <v>37941.14</v>
      </c>
      <c r="V29" s="259">
        <f t="shared" si="21"/>
        <v>0</v>
      </c>
      <c r="W29" s="260">
        <v>0</v>
      </c>
      <c r="X29" s="260">
        <v>20196.47</v>
      </c>
      <c r="Y29" s="260">
        <v>0</v>
      </c>
      <c r="Z29" s="260">
        <v>0</v>
      </c>
      <c r="AA29" s="260">
        <v>8424.21</v>
      </c>
      <c r="AB29" s="260">
        <v>2917.8</v>
      </c>
      <c r="AC29" s="260"/>
      <c r="AD29" s="260"/>
      <c r="AE29" s="261"/>
      <c r="AF29" s="246">
        <f t="shared" si="22"/>
        <v>31538.48</v>
      </c>
      <c r="AG29" s="252">
        <f t="shared" si="23"/>
        <v>31656.596</v>
      </c>
      <c r="AH29" s="232">
        <f t="shared" si="24"/>
        <v>0</v>
      </c>
      <c r="AI29" s="232">
        <f t="shared" si="24"/>
        <v>0</v>
      </c>
      <c r="AJ29" s="296">
        <f>'[6]Т04'!$J$179+'[6]Т04'!$J$236</f>
        <v>214</v>
      </c>
      <c r="AK29" s="210">
        <f>0.67*B29</f>
        <v>2907.8268000000003</v>
      </c>
      <c r="AL29" s="215">
        <f t="shared" si="25"/>
        <v>868.008</v>
      </c>
      <c r="AM29" s="215">
        <f t="shared" si="26"/>
        <v>4340.04</v>
      </c>
      <c r="AN29" s="215">
        <f t="shared" si="27"/>
        <v>911.4083999999999</v>
      </c>
      <c r="AO29" s="215">
        <f t="shared" si="28"/>
        <v>8766.8808</v>
      </c>
      <c r="AP29" s="215">
        <f t="shared" si="29"/>
        <v>4470.2412</v>
      </c>
      <c r="AQ29" s="215">
        <f t="shared" si="30"/>
        <v>3255.0299999999997</v>
      </c>
      <c r="AR29" s="215">
        <f t="shared" si="31"/>
        <v>3255.0299999999997</v>
      </c>
      <c r="AS29" s="302"/>
      <c r="AT29" s="233">
        <f>0.45*888</f>
        <v>399.6</v>
      </c>
      <c r="AU29" s="478"/>
      <c r="AV29" s="234"/>
      <c r="AW29" s="234"/>
      <c r="AX29" s="234">
        <f>88</f>
        <v>88</v>
      </c>
      <c r="AY29" s="479"/>
      <c r="AZ29" s="479"/>
      <c r="BA29" s="479"/>
      <c r="BB29" s="233"/>
      <c r="BC29" s="247">
        <f>SUM(AK29:BB29)</f>
        <v>29262.065199999997</v>
      </c>
      <c r="BD29" s="297">
        <f>'[6]Т04'!$S$179+'[6]Т04'!$S$236</f>
        <v>53.5</v>
      </c>
      <c r="BE29" s="218">
        <f t="shared" si="32"/>
        <v>29315.565199999997</v>
      </c>
      <c r="BF29" s="219">
        <f t="shared" si="33"/>
        <v>2555.030800000004</v>
      </c>
      <c r="BG29" s="219">
        <f t="shared" si="34"/>
        <v>-6402.66</v>
      </c>
      <c r="BH29" s="220"/>
      <c r="BI29" s="224"/>
    </row>
    <row r="30" spans="1:61" ht="12.75">
      <c r="A30" s="203" t="s">
        <v>47</v>
      </c>
      <c r="B30" s="221">
        <v>4340.04</v>
      </c>
      <c r="C30" s="168">
        <f>B30*8.55</f>
        <v>37107.342000000004</v>
      </c>
      <c r="D30" s="477">
        <v>118.11600000000001</v>
      </c>
      <c r="E30" s="248"/>
      <c r="F30" s="248"/>
      <c r="G30" s="248">
        <v>22943.35</v>
      </c>
      <c r="H30" s="248"/>
      <c r="I30" s="248"/>
      <c r="J30" s="248"/>
      <c r="K30" s="248"/>
      <c r="L30" s="248"/>
      <c r="M30" s="248">
        <v>11141.8</v>
      </c>
      <c r="N30" s="248"/>
      <c r="O30" s="248">
        <v>3864.54</v>
      </c>
      <c r="P30" s="248"/>
      <c r="Q30" s="248"/>
      <c r="R30" s="248"/>
      <c r="S30" s="249"/>
      <c r="T30" s="262"/>
      <c r="U30" s="258">
        <f t="shared" si="21"/>
        <v>37949.689999999995</v>
      </c>
      <c r="V30" s="259">
        <f t="shared" si="21"/>
        <v>0</v>
      </c>
      <c r="W30" s="260">
        <v>0</v>
      </c>
      <c r="X30" s="260">
        <v>25243.07</v>
      </c>
      <c r="Y30" s="260">
        <v>0</v>
      </c>
      <c r="Z30" s="260">
        <v>0</v>
      </c>
      <c r="AA30" s="260">
        <v>10348.52</v>
      </c>
      <c r="AB30" s="260">
        <v>4592.64</v>
      </c>
      <c r="AC30" s="260"/>
      <c r="AD30" s="260"/>
      <c r="AE30" s="260"/>
      <c r="AF30" s="246">
        <f t="shared" si="22"/>
        <v>40184.229999999996</v>
      </c>
      <c r="AG30" s="252">
        <f t="shared" si="23"/>
        <v>40302.346</v>
      </c>
      <c r="AH30" s="232">
        <f t="shared" si="24"/>
        <v>0</v>
      </c>
      <c r="AI30" s="232">
        <f t="shared" si="24"/>
        <v>0</v>
      </c>
      <c r="AJ30" s="296">
        <f>'[6]Т05'!$J$59+'[6]Т05'!$J$179+'[6]Т05'!$J$161+'[6]Т05'!$J$242</f>
        <v>108492.715</v>
      </c>
      <c r="AK30" s="210">
        <f>0.67*B30</f>
        <v>2907.8268000000003</v>
      </c>
      <c r="AL30" s="215">
        <f t="shared" si="25"/>
        <v>868.008</v>
      </c>
      <c r="AM30" s="215">
        <f t="shared" si="26"/>
        <v>4340.04</v>
      </c>
      <c r="AN30" s="215">
        <f t="shared" si="27"/>
        <v>911.4083999999999</v>
      </c>
      <c r="AO30" s="215">
        <f t="shared" si="28"/>
        <v>8766.8808</v>
      </c>
      <c r="AP30" s="215">
        <f t="shared" si="29"/>
        <v>4470.2412</v>
      </c>
      <c r="AQ30" s="215">
        <f t="shared" si="30"/>
        <v>3255.0299999999997</v>
      </c>
      <c r="AR30" s="215">
        <f t="shared" si="31"/>
        <v>3255.0299999999997</v>
      </c>
      <c r="AS30" s="302"/>
      <c r="AT30" s="233">
        <f>0.45*888</f>
        <v>399.6</v>
      </c>
      <c r="AU30" s="478">
        <v>2653</v>
      </c>
      <c r="AV30" s="234"/>
      <c r="AW30" s="234"/>
      <c r="AX30" s="234">
        <f>2200+1042+34.2+646.67</f>
        <v>3922.87</v>
      </c>
      <c r="AY30" s="479"/>
      <c r="AZ30" s="479"/>
      <c r="BA30" s="479"/>
      <c r="BB30" s="233"/>
      <c r="BC30" s="247">
        <f>SUM(AK30:BB30)</f>
        <v>35749.9352</v>
      </c>
      <c r="BD30" s="297">
        <f>'[6]Т05'!$S$59+'[6]Т05'!$S$161+'[6]Т05'!$S$179+'[6]Т05'!$S$242</f>
        <v>823.4</v>
      </c>
      <c r="BE30" s="218">
        <f t="shared" si="32"/>
        <v>36573.3352</v>
      </c>
      <c r="BF30" s="219">
        <f t="shared" si="33"/>
        <v>112221.72579999999</v>
      </c>
      <c r="BG30" s="219">
        <f t="shared" si="34"/>
        <v>2234.540000000001</v>
      </c>
      <c r="BH30" s="220"/>
      <c r="BI30" s="224"/>
    </row>
    <row r="31" spans="1:62" ht="12.75">
      <c r="A31" s="203" t="s">
        <v>48</v>
      </c>
      <c r="B31" s="221">
        <v>4340.04</v>
      </c>
      <c r="C31" s="168">
        <f>B31*8.55</f>
        <v>37107.342000000004</v>
      </c>
      <c r="D31" s="477">
        <v>118.11600000000001</v>
      </c>
      <c r="E31" s="248"/>
      <c r="F31" s="248"/>
      <c r="G31" s="248">
        <v>22954.83</v>
      </c>
      <c r="H31" s="248"/>
      <c r="I31" s="248"/>
      <c r="J31" s="248"/>
      <c r="K31" s="248"/>
      <c r="L31" s="248"/>
      <c r="M31" s="248">
        <v>11147.42</v>
      </c>
      <c r="N31" s="248"/>
      <c r="O31" s="248">
        <v>3866.53</v>
      </c>
      <c r="P31" s="248"/>
      <c r="Q31" s="248"/>
      <c r="R31" s="248"/>
      <c r="S31" s="249"/>
      <c r="T31" s="262"/>
      <c r="U31" s="258">
        <f t="shared" si="21"/>
        <v>37968.78</v>
      </c>
      <c r="V31" s="259">
        <f t="shared" si="21"/>
        <v>0</v>
      </c>
      <c r="W31" s="260"/>
      <c r="X31" s="480">
        <v>26373.63</v>
      </c>
      <c r="Y31" s="260"/>
      <c r="Z31" s="260"/>
      <c r="AA31" s="480">
        <v>11829.1</v>
      </c>
      <c r="AB31" s="480">
        <v>3106.49</v>
      </c>
      <c r="AC31" s="260"/>
      <c r="AD31" s="480"/>
      <c r="AE31" s="481"/>
      <c r="AF31" s="246">
        <f t="shared" si="22"/>
        <v>41309.22</v>
      </c>
      <c r="AG31" s="252">
        <f t="shared" si="23"/>
        <v>41427.336</v>
      </c>
      <c r="AH31" s="232">
        <f t="shared" si="24"/>
        <v>0</v>
      </c>
      <c r="AI31" s="232">
        <f t="shared" si="24"/>
        <v>0</v>
      </c>
      <c r="AJ31" s="296">
        <f>'[6]Т06'!$J$59+'[6]Т06'!$J$192+'[6]Т06'!$J$210+'[6]Т06'!$J$273</f>
        <v>4156.249</v>
      </c>
      <c r="AK31" s="210">
        <f>0.67*B31</f>
        <v>2907.8268000000003</v>
      </c>
      <c r="AL31" s="215">
        <f t="shared" si="25"/>
        <v>868.008</v>
      </c>
      <c r="AM31" s="215">
        <f t="shared" si="26"/>
        <v>4340.04</v>
      </c>
      <c r="AN31" s="215">
        <f t="shared" si="27"/>
        <v>911.4083999999999</v>
      </c>
      <c r="AO31" s="215">
        <f t="shared" si="28"/>
        <v>8766.8808</v>
      </c>
      <c r="AP31" s="215">
        <f t="shared" si="29"/>
        <v>4470.2412</v>
      </c>
      <c r="AQ31" s="215">
        <f t="shared" si="30"/>
        <v>3255.0299999999997</v>
      </c>
      <c r="AR31" s="215">
        <f t="shared" si="31"/>
        <v>3255.0299999999997</v>
      </c>
      <c r="AS31" s="302"/>
      <c r="AT31" s="233">
        <f>0.45*888</f>
        <v>399.6</v>
      </c>
      <c r="AU31" s="478">
        <v>1557</v>
      </c>
      <c r="AV31" s="234"/>
      <c r="AW31" s="234">
        <v>2509</v>
      </c>
      <c r="AX31" s="234">
        <f>459+328</f>
        <v>787</v>
      </c>
      <c r="AY31" s="479"/>
      <c r="AZ31" s="479"/>
      <c r="BA31" s="479"/>
      <c r="BB31" s="233"/>
      <c r="BC31" s="247">
        <f>SUM(AK31:BB31)</f>
        <v>34027.0652</v>
      </c>
      <c r="BD31" s="297">
        <f>'[6]Т06'!$S$59+'[6]Т06'!$S$192+'[6]Т06'!$S$210+'[6]Т06'!$S$273</f>
        <v>2162.711</v>
      </c>
      <c r="BE31" s="218">
        <f t="shared" si="32"/>
        <v>36189.7762</v>
      </c>
      <c r="BF31" s="219">
        <f t="shared" si="33"/>
        <v>9393.808800000006</v>
      </c>
      <c r="BG31" s="219">
        <f t="shared" si="34"/>
        <v>3340.4400000000023</v>
      </c>
      <c r="BH31" s="220"/>
      <c r="BI31" s="220"/>
      <c r="BJ31" s="224"/>
    </row>
    <row r="32" spans="1:60" ht="12.75">
      <c r="A32" s="203" t="s">
        <v>49</v>
      </c>
      <c r="B32" s="221">
        <v>4340.04</v>
      </c>
      <c r="C32" s="168">
        <f>B32*9.51</f>
        <v>41273.780399999996</v>
      </c>
      <c r="D32" s="477">
        <v>158.06700000000004</v>
      </c>
      <c r="E32" s="248"/>
      <c r="F32" s="248"/>
      <c r="G32" s="248">
        <v>42258.59</v>
      </c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9"/>
      <c r="T32" s="262"/>
      <c r="U32" s="258">
        <f aca="true" t="shared" si="35" ref="U32:W37">G32+M32+O32+Q32+S32</f>
        <v>42258.59</v>
      </c>
      <c r="V32" s="482">
        <f t="shared" si="35"/>
        <v>0</v>
      </c>
      <c r="W32" s="260"/>
      <c r="X32" s="240">
        <v>16972.01</v>
      </c>
      <c r="Y32" s="260"/>
      <c r="Z32" s="260"/>
      <c r="AA32" s="240">
        <v>7874.08</v>
      </c>
      <c r="AB32" s="240">
        <v>2743.01</v>
      </c>
      <c r="AC32" s="260"/>
      <c r="AD32" s="240"/>
      <c r="AE32" s="256"/>
      <c r="AF32" s="246">
        <f aca="true" t="shared" si="36" ref="AF32:AF37">SUM(X32:AE32)</f>
        <v>27589.1</v>
      </c>
      <c r="AG32" s="252">
        <f t="shared" si="23"/>
        <v>27747.166999999998</v>
      </c>
      <c r="AH32" s="483">
        <v>0</v>
      </c>
      <c r="AI32" s="232">
        <f t="shared" si="24"/>
        <v>0</v>
      </c>
      <c r="AJ32" s="296">
        <f>'[6]Т07'!$J$59+'[6]Т07'!$J$81+'[6]Т07'!$J$82+'[6]Т07'!$J$194+'[6]Т07'!$J$212+'[6]Т07'!$J$275</f>
        <v>134069.613</v>
      </c>
      <c r="AK32" s="215">
        <f>0.75*B32</f>
        <v>3255.0299999999997</v>
      </c>
      <c r="AL32" s="215">
        <f t="shared" si="25"/>
        <v>868.008</v>
      </c>
      <c r="AM32" s="215">
        <f t="shared" si="26"/>
        <v>4340.04</v>
      </c>
      <c r="AN32" s="215">
        <f t="shared" si="27"/>
        <v>911.4083999999999</v>
      </c>
      <c r="AO32" s="215">
        <f t="shared" si="28"/>
        <v>8766.8808</v>
      </c>
      <c r="AP32" s="215">
        <f t="shared" si="29"/>
        <v>4470.2412</v>
      </c>
      <c r="AQ32" s="215">
        <f t="shared" si="30"/>
        <v>3255.0299999999997</v>
      </c>
      <c r="AR32" s="215">
        <f t="shared" si="31"/>
        <v>3255.0299999999997</v>
      </c>
      <c r="AS32" s="302"/>
      <c r="AT32" s="233">
        <f>0.45*888</f>
        <v>399.6</v>
      </c>
      <c r="AU32" s="478">
        <v>984</v>
      </c>
      <c r="AV32" s="234"/>
      <c r="AW32" s="234"/>
      <c r="AX32" s="234">
        <f>743+2200+33.32</f>
        <v>2976.32</v>
      </c>
      <c r="AY32" s="479"/>
      <c r="AZ32" s="479"/>
      <c r="BA32" s="479"/>
      <c r="BB32" s="233"/>
      <c r="BC32" s="247">
        <f>SUM(AK32:BB32)</f>
        <v>33481.5884</v>
      </c>
      <c r="BD32" s="297">
        <f>'[6]Т07'!$S$59+'[6]Т07'!$S$81+'[6]Т07'!$S$82+'[6]Т07'!$S$194+'[6]Т07'!$S$212+'[6]Т07'!$S$275</f>
        <v>5458.581</v>
      </c>
      <c r="BE32" s="218">
        <f t="shared" si="32"/>
        <v>38940.1694</v>
      </c>
      <c r="BF32" s="219">
        <f t="shared" si="33"/>
        <v>122876.6106</v>
      </c>
      <c r="BG32" s="219">
        <f t="shared" si="34"/>
        <v>-14669.489999999998</v>
      </c>
      <c r="BH32" s="190"/>
    </row>
    <row r="33" spans="1:60" ht="12.75">
      <c r="A33" s="203" t="s">
        <v>50</v>
      </c>
      <c r="B33" s="221">
        <v>4340.04</v>
      </c>
      <c r="C33" s="168">
        <f>B33*9.51</f>
        <v>41273.780399999996</v>
      </c>
      <c r="D33" s="477"/>
      <c r="E33" s="248"/>
      <c r="F33" s="248"/>
      <c r="G33" s="248">
        <v>42304.73</v>
      </c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9"/>
      <c r="T33" s="262"/>
      <c r="U33" s="258">
        <f t="shared" si="35"/>
        <v>42304.73</v>
      </c>
      <c r="V33" s="482">
        <f t="shared" si="35"/>
        <v>0</v>
      </c>
      <c r="W33" s="260"/>
      <c r="X33" s="240">
        <v>40411.99</v>
      </c>
      <c r="Y33" s="260"/>
      <c r="Z33" s="260"/>
      <c r="AA33" s="240">
        <v>4875.34</v>
      </c>
      <c r="AB33" s="240">
        <v>894.23</v>
      </c>
      <c r="AC33" s="260"/>
      <c r="AD33" s="240"/>
      <c r="AE33" s="256"/>
      <c r="AF33" s="246">
        <f t="shared" si="36"/>
        <v>46181.560000000005</v>
      </c>
      <c r="AG33" s="252">
        <f t="shared" si="23"/>
        <v>46181.560000000005</v>
      </c>
      <c r="AH33" s="483">
        <v>0</v>
      </c>
      <c r="AI33" s="232">
        <f t="shared" si="24"/>
        <v>0</v>
      </c>
      <c r="AJ33" s="296">
        <f>'[6]Т08'!$J$59+'[6]Т08'!$J$81+'[6]Т08'!$J$82+'[6]Т08'!$J$212+'[6]Т08'!$J$275</f>
        <v>7090.465</v>
      </c>
      <c r="AK33" s="215">
        <f>0.75*B33</f>
        <v>3255.0299999999997</v>
      </c>
      <c r="AL33" s="215">
        <f t="shared" si="25"/>
        <v>868.008</v>
      </c>
      <c r="AM33" s="215">
        <f t="shared" si="26"/>
        <v>4340.04</v>
      </c>
      <c r="AN33" s="215">
        <f t="shared" si="27"/>
        <v>911.4083999999999</v>
      </c>
      <c r="AO33" s="215">
        <f t="shared" si="28"/>
        <v>8766.8808</v>
      </c>
      <c r="AP33" s="215">
        <f t="shared" si="29"/>
        <v>4470.2412</v>
      </c>
      <c r="AQ33" s="215">
        <f t="shared" si="30"/>
        <v>3255.0299999999997</v>
      </c>
      <c r="AR33" s="215">
        <f t="shared" si="31"/>
        <v>3255.0299999999997</v>
      </c>
      <c r="AS33" s="302"/>
      <c r="AT33" s="233">
        <f>0.45*888</f>
        <v>399.6</v>
      </c>
      <c r="AU33" s="478"/>
      <c r="AV33" s="234"/>
      <c r="AW33" s="234">
        <v>1046</v>
      </c>
      <c r="AX33" s="234">
        <f>26.76+442.12+45</f>
        <v>513.88</v>
      </c>
      <c r="AY33" s="479"/>
      <c r="AZ33" s="479"/>
      <c r="BA33" s="479"/>
      <c r="BB33" s="233"/>
      <c r="BC33" s="247">
        <f>SUM(AK33:BB33)</f>
        <v>31081.1484</v>
      </c>
      <c r="BD33" s="297">
        <f>'[6]Т08'!$S$59+'[6]Т08'!$S$81+'[6]Т08'!$S$82+'[6]Т08'!$S$212+'[6]Т08'!$S$275</f>
        <v>5346.081</v>
      </c>
      <c r="BE33" s="218">
        <f t="shared" si="32"/>
        <v>36427.2294</v>
      </c>
      <c r="BF33" s="219">
        <f t="shared" si="33"/>
        <v>16844.795600000012</v>
      </c>
      <c r="BG33" s="219">
        <f t="shared" si="34"/>
        <v>3876.8300000000017</v>
      </c>
      <c r="BH33" s="190"/>
    </row>
    <row r="34" spans="1:60" ht="12.75">
      <c r="A34" s="203" t="s">
        <v>51</v>
      </c>
      <c r="B34" s="221">
        <v>4340.04</v>
      </c>
      <c r="C34" s="168">
        <f>B34*9.51</f>
        <v>41273.780399999996</v>
      </c>
      <c r="D34" s="477"/>
      <c r="E34" s="248"/>
      <c r="F34" s="248"/>
      <c r="G34" s="248">
        <v>42327.22</v>
      </c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9"/>
      <c r="T34" s="262"/>
      <c r="U34" s="258">
        <f t="shared" si="35"/>
        <v>42327.22</v>
      </c>
      <c r="V34" s="482">
        <f t="shared" si="35"/>
        <v>0</v>
      </c>
      <c r="W34" s="260"/>
      <c r="X34" s="240">
        <v>36449.02</v>
      </c>
      <c r="Y34" s="260"/>
      <c r="Z34" s="260"/>
      <c r="AA34" s="240">
        <v>2029.88</v>
      </c>
      <c r="AB34" s="240">
        <v>869.65</v>
      </c>
      <c r="AC34" s="260"/>
      <c r="AD34" s="240"/>
      <c r="AE34" s="256"/>
      <c r="AF34" s="246">
        <f t="shared" si="36"/>
        <v>39348.549999999996</v>
      </c>
      <c r="AG34" s="252">
        <f t="shared" si="23"/>
        <v>39348.549999999996</v>
      </c>
      <c r="AH34" s="483">
        <v>0</v>
      </c>
      <c r="AI34" s="232">
        <f t="shared" si="24"/>
        <v>0</v>
      </c>
      <c r="AJ34" s="296">
        <f>'[6]Т09'!$J$59+'[6]Т09'!$J$81+'[6]Т09'!$J$82+'[6]Т09'!$J$83+'[6]Т09'!$J$212+'[6]Т09'!$J$275</f>
        <v>76106.35299999999</v>
      </c>
      <c r="AK34" s="215">
        <f>0.75*B34</f>
        <v>3255.0299999999997</v>
      </c>
      <c r="AL34" s="215">
        <f t="shared" si="25"/>
        <v>868.008</v>
      </c>
      <c r="AM34" s="215">
        <f t="shared" si="26"/>
        <v>4340.04</v>
      </c>
      <c r="AN34" s="215">
        <f t="shared" si="27"/>
        <v>911.4083999999999</v>
      </c>
      <c r="AO34" s="215">
        <f t="shared" si="28"/>
        <v>8766.8808</v>
      </c>
      <c r="AP34" s="215">
        <f t="shared" si="29"/>
        <v>4470.2412</v>
      </c>
      <c r="AQ34" s="215">
        <f t="shared" si="30"/>
        <v>3255.0299999999997</v>
      </c>
      <c r="AR34" s="215">
        <f t="shared" si="31"/>
        <v>3255.0299999999997</v>
      </c>
      <c r="AS34" s="302"/>
      <c r="AT34" s="233">
        <f>0.45*888</f>
        <v>399.6</v>
      </c>
      <c r="AU34" s="478">
        <v>1653</v>
      </c>
      <c r="AV34" s="234"/>
      <c r="AW34" s="234">
        <v>395</v>
      </c>
      <c r="AX34" s="234">
        <f>158</f>
        <v>158</v>
      </c>
      <c r="AY34" s="479"/>
      <c r="AZ34" s="479"/>
      <c r="BA34" s="479"/>
      <c r="BB34" s="233"/>
      <c r="BC34" s="247">
        <f>SUM(AK34:BB34)</f>
        <v>31727.268399999997</v>
      </c>
      <c r="BD34" s="297">
        <f>'[6]Т09'!$S$59+'[6]Т09'!$S$81+'[6]Т09'!$S$82+'[6]Т09'!$S$83+'[6]Т09'!$S$212+'[6]Т09'!$S$275</f>
        <v>6727.167</v>
      </c>
      <c r="BE34" s="218">
        <f t="shared" si="32"/>
        <v>38454.435399999995</v>
      </c>
      <c r="BF34" s="219">
        <f t="shared" si="33"/>
        <v>77000.4676</v>
      </c>
      <c r="BG34" s="219">
        <f t="shared" si="34"/>
        <v>-2978.6700000000055</v>
      </c>
      <c r="BH34" s="190"/>
    </row>
    <row r="35" spans="1:59" ht="12.75">
      <c r="A35" s="203" t="s">
        <v>39</v>
      </c>
      <c r="B35" s="221">
        <v>4340.04</v>
      </c>
      <c r="C35" s="168">
        <f>B35*9.51</f>
        <v>41273.780399999996</v>
      </c>
      <c r="D35" s="477"/>
      <c r="E35" s="248"/>
      <c r="F35" s="248"/>
      <c r="G35" s="248">
        <v>42428.98</v>
      </c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9"/>
      <c r="T35" s="262"/>
      <c r="U35" s="258">
        <f t="shared" si="35"/>
        <v>42428.98</v>
      </c>
      <c r="V35" s="482">
        <f t="shared" si="35"/>
        <v>0</v>
      </c>
      <c r="W35" s="260"/>
      <c r="X35" s="240">
        <v>38936.58</v>
      </c>
      <c r="Y35" s="260"/>
      <c r="Z35" s="260"/>
      <c r="AA35" s="240">
        <v>1111.21</v>
      </c>
      <c r="AB35" s="240">
        <v>628.24</v>
      </c>
      <c r="AC35" s="260"/>
      <c r="AD35" s="240"/>
      <c r="AE35" s="256"/>
      <c r="AF35" s="246">
        <f t="shared" si="36"/>
        <v>40676.03</v>
      </c>
      <c r="AG35" s="252">
        <f t="shared" si="23"/>
        <v>40676.03</v>
      </c>
      <c r="AH35" s="483">
        <v>0</v>
      </c>
      <c r="AI35" s="232">
        <f t="shared" si="24"/>
        <v>0</v>
      </c>
      <c r="AJ35" s="296">
        <f>'[6]Т10'!$J$59+'[6]Т10'!$J$80+'[6]Т10'!$J$81+'[6]Т10'!$J$82+'[6]Т10'!$J$211+'[6]Т10'!$J$274</f>
        <v>9007.573</v>
      </c>
      <c r="AK35" s="215">
        <f>0.75*B35</f>
        <v>3255.0299999999997</v>
      </c>
      <c r="AL35" s="215">
        <f t="shared" si="25"/>
        <v>868.008</v>
      </c>
      <c r="AM35" s="215">
        <f t="shared" si="26"/>
        <v>4340.04</v>
      </c>
      <c r="AN35" s="215">
        <f t="shared" si="27"/>
        <v>911.4083999999999</v>
      </c>
      <c r="AO35" s="215">
        <f t="shared" si="28"/>
        <v>8766.8808</v>
      </c>
      <c r="AP35" s="215">
        <f t="shared" si="29"/>
        <v>4470.2412</v>
      </c>
      <c r="AQ35" s="215">
        <f t="shared" si="30"/>
        <v>3255.0299999999997</v>
      </c>
      <c r="AR35" s="215">
        <f t="shared" si="31"/>
        <v>3255.0299999999997</v>
      </c>
      <c r="AS35" s="302">
        <f>B35*1.15</f>
        <v>4991.045999999999</v>
      </c>
      <c r="AT35" s="233">
        <f>0.45*888</f>
        <v>399.6</v>
      </c>
      <c r="AU35" s="484">
        <v>5821</v>
      </c>
      <c r="AV35" s="234"/>
      <c r="AW35" s="234">
        <f>3489/2+484</f>
        <v>2228.5</v>
      </c>
      <c r="AX35" s="234">
        <v>25505.3</v>
      </c>
      <c r="AY35" s="479"/>
      <c r="AZ35" s="479"/>
      <c r="BA35" s="479"/>
      <c r="BB35" s="233"/>
      <c r="BC35" s="247">
        <f>SUM(AK35:BB35)</f>
        <v>68067.11439999999</v>
      </c>
      <c r="BD35" s="297">
        <f>'[6]Т10'!$S$59+'[6]Т10'!$S$80+'[6]Т10'!$S$81+'[6]Т10'!$S$82+'[6]Т10'!$S$211+'[6]Т10'!$S$274</f>
        <v>6727.167</v>
      </c>
      <c r="BE35" s="218">
        <f t="shared" si="32"/>
        <v>74794.28139999999</v>
      </c>
      <c r="BF35" s="219">
        <f t="shared" si="33"/>
        <v>-25110.67839999999</v>
      </c>
      <c r="BG35" s="219">
        <f t="shared" si="34"/>
        <v>-1752.9500000000044</v>
      </c>
    </row>
    <row r="36" spans="1:59" ht="12.75">
      <c r="A36" s="203" t="s">
        <v>40</v>
      </c>
      <c r="B36" s="485">
        <v>4340.04</v>
      </c>
      <c r="C36" s="168">
        <f>B36*9.51</f>
        <v>41273.780399999996</v>
      </c>
      <c r="D36" s="477"/>
      <c r="E36" s="248"/>
      <c r="F36" s="248"/>
      <c r="G36" s="240">
        <v>42401.74</v>
      </c>
      <c r="H36" s="240"/>
      <c r="I36" s="248"/>
      <c r="J36" s="248"/>
      <c r="K36" s="248"/>
      <c r="L36" s="248"/>
      <c r="M36" s="240"/>
      <c r="N36" s="240"/>
      <c r="O36" s="240"/>
      <c r="P36" s="240"/>
      <c r="Q36" s="240"/>
      <c r="R36" s="240"/>
      <c r="S36" s="256"/>
      <c r="T36" s="262"/>
      <c r="U36" s="258">
        <f t="shared" si="35"/>
        <v>42401.74</v>
      </c>
      <c r="V36" s="482">
        <f t="shared" si="35"/>
        <v>0</v>
      </c>
      <c r="W36" s="260"/>
      <c r="X36" s="240">
        <v>45909.81</v>
      </c>
      <c r="Y36" s="260"/>
      <c r="Z36" s="260"/>
      <c r="AA36" s="240">
        <v>453.09</v>
      </c>
      <c r="AB36" s="240">
        <v>652.14</v>
      </c>
      <c r="AC36" s="260"/>
      <c r="AD36" s="240"/>
      <c r="AE36" s="256"/>
      <c r="AF36" s="246">
        <f t="shared" si="36"/>
        <v>47015.03999999999</v>
      </c>
      <c r="AG36" s="252">
        <f t="shared" si="23"/>
        <v>47015.03999999999</v>
      </c>
      <c r="AH36" s="483">
        <v>0</v>
      </c>
      <c r="AI36" s="232">
        <f t="shared" si="24"/>
        <v>0</v>
      </c>
      <c r="AJ36" s="296">
        <f>'[6]Т11'!$J$59+'[6]Т11'!$J$80+'[6]Т11'!$J$81+'[6]Т11'!$J$82+'[6]Т11'!$J$213+'[6]Т11'!$J$276</f>
        <v>9007.573</v>
      </c>
      <c r="AK36" s="215">
        <f>0.75*B36</f>
        <v>3255.0299999999997</v>
      </c>
      <c r="AL36" s="215">
        <f t="shared" si="25"/>
        <v>868.008</v>
      </c>
      <c r="AM36" s="215">
        <f t="shared" si="26"/>
        <v>4340.04</v>
      </c>
      <c r="AN36" s="215">
        <f t="shared" si="27"/>
        <v>911.4083999999999</v>
      </c>
      <c r="AO36" s="215">
        <f t="shared" si="28"/>
        <v>8766.8808</v>
      </c>
      <c r="AP36" s="215">
        <f t="shared" si="29"/>
        <v>4470.2412</v>
      </c>
      <c r="AQ36" s="215">
        <f t="shared" si="30"/>
        <v>3255.0299999999997</v>
      </c>
      <c r="AR36" s="215">
        <f t="shared" si="31"/>
        <v>3255.0299999999997</v>
      </c>
      <c r="AS36" s="302">
        <f>B36*1.15</f>
        <v>4991.045999999999</v>
      </c>
      <c r="AT36" s="233">
        <f>0.45*888+8556</f>
        <v>8955.6</v>
      </c>
      <c r="AU36" s="478">
        <v>5390</v>
      </c>
      <c r="AV36" s="234"/>
      <c r="AW36" s="234"/>
      <c r="AX36" s="234">
        <f>1053</f>
        <v>1053</v>
      </c>
      <c r="AY36" s="479"/>
      <c r="AZ36" s="479"/>
      <c r="BA36" s="479"/>
      <c r="BB36" s="233"/>
      <c r="BC36" s="247">
        <f>SUM(AK36:BB36)</f>
        <v>49511.314399999996</v>
      </c>
      <c r="BD36" s="297">
        <f>'[6]Т11'!$S$59+'[6]Т11'!$S$80+'[6]Т11'!$S$81+'[6]Т11'!$S$82+'[6]Т11'!$S$213+'[6]Т11'!$S$276</f>
        <v>6727.167</v>
      </c>
      <c r="BE36" s="218">
        <f t="shared" si="32"/>
        <v>56238.4814</v>
      </c>
      <c r="BF36" s="219">
        <f t="shared" si="33"/>
        <v>-215.86839999999938</v>
      </c>
      <c r="BG36" s="219">
        <f t="shared" si="34"/>
        <v>4613.299999999996</v>
      </c>
    </row>
    <row r="37" spans="1:59" ht="13.5" thickBot="1">
      <c r="A37" s="203" t="s">
        <v>41</v>
      </c>
      <c r="B37" s="485">
        <v>4340.04</v>
      </c>
      <c r="C37" s="168">
        <f>B37*9.51</f>
        <v>41273.780399999996</v>
      </c>
      <c r="D37" s="477"/>
      <c r="E37" s="240"/>
      <c r="F37" s="240"/>
      <c r="G37" s="240">
        <v>42294.01</v>
      </c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56"/>
      <c r="T37" s="262"/>
      <c r="U37" s="258">
        <f t="shared" si="35"/>
        <v>42294.01</v>
      </c>
      <c r="V37" s="482">
        <f t="shared" si="35"/>
        <v>0</v>
      </c>
      <c r="W37" s="260"/>
      <c r="X37" s="240">
        <v>45914.69</v>
      </c>
      <c r="Y37" s="240"/>
      <c r="Z37" s="240"/>
      <c r="AA37" s="240">
        <v>584.44</v>
      </c>
      <c r="AB37" s="240">
        <v>299.21</v>
      </c>
      <c r="AC37" s="240"/>
      <c r="AD37" s="240"/>
      <c r="AE37" s="256"/>
      <c r="AF37" s="246">
        <f t="shared" si="36"/>
        <v>46798.340000000004</v>
      </c>
      <c r="AG37" s="252">
        <f t="shared" si="23"/>
        <v>46798.340000000004</v>
      </c>
      <c r="AH37" s="483">
        <v>0</v>
      </c>
      <c r="AI37" s="232">
        <f t="shared" si="24"/>
        <v>0</v>
      </c>
      <c r="AJ37" s="296">
        <f>'[6]Т12'!$J$59+'[6]Т12'!$J$80+'[6]Т12'!$J$81+'[6]Т12'!$J$82+'[6]Т12'!$J$216+'[6]Т12'!$J$279</f>
        <v>9007.573</v>
      </c>
      <c r="AK37" s="215">
        <f>0.75*B37</f>
        <v>3255.0299999999997</v>
      </c>
      <c r="AL37" s="215">
        <f t="shared" si="25"/>
        <v>868.008</v>
      </c>
      <c r="AM37" s="215">
        <f t="shared" si="26"/>
        <v>4340.04</v>
      </c>
      <c r="AN37" s="215">
        <f t="shared" si="27"/>
        <v>911.4083999999999</v>
      </c>
      <c r="AO37" s="215">
        <f t="shared" si="28"/>
        <v>8766.8808</v>
      </c>
      <c r="AP37" s="215">
        <f t="shared" si="29"/>
        <v>4470.2412</v>
      </c>
      <c r="AQ37" s="215">
        <f t="shared" si="30"/>
        <v>3255.0299999999997</v>
      </c>
      <c r="AR37" s="215">
        <f t="shared" si="31"/>
        <v>3255.0299999999997</v>
      </c>
      <c r="AS37" s="302">
        <f>B37*1.15</f>
        <v>4991.045999999999</v>
      </c>
      <c r="AT37" s="233">
        <f>0.45*888</f>
        <v>399.6</v>
      </c>
      <c r="AU37" s="478">
        <v>1852</v>
      </c>
      <c r="AV37" s="234"/>
      <c r="AW37" s="234"/>
      <c r="AX37" s="234">
        <f>2494.7</f>
        <v>2494.7</v>
      </c>
      <c r="AY37" s="479"/>
      <c r="AZ37" s="479"/>
      <c r="BA37" s="479"/>
      <c r="BB37" s="233"/>
      <c r="BC37" s="247">
        <f>SUM(AK37:BB37)</f>
        <v>38859.01439999999</v>
      </c>
      <c r="BD37" s="297">
        <f>'[6]Т12'!$S$59+'[6]Т12'!$S$80+'[6]Т12'!$S$81+'[6]Т12'!$S$82+'[6]Т12'!$S$216+'[6]Т12'!$S$279</f>
        <v>6727.167</v>
      </c>
      <c r="BE37" s="218">
        <f t="shared" si="32"/>
        <v>45586.181399999994</v>
      </c>
      <c r="BF37" s="219">
        <f t="shared" si="33"/>
        <v>10219.731600000006</v>
      </c>
      <c r="BG37" s="219">
        <f t="shared" si="34"/>
        <v>4504.330000000002</v>
      </c>
    </row>
    <row r="38" spans="1:59" s="23" customFormat="1" ht="13.5" thickBot="1">
      <c r="A38" s="263" t="s">
        <v>3</v>
      </c>
      <c r="B38" s="264"/>
      <c r="C38" s="265">
        <f aca="true" t="shared" si="37" ref="C38:AY38">SUM(C26:C37)</f>
        <v>470286.73439999996</v>
      </c>
      <c r="D38" s="265">
        <f t="shared" si="37"/>
        <v>866.763</v>
      </c>
      <c r="E38" s="265">
        <f t="shared" si="37"/>
        <v>0</v>
      </c>
      <c r="F38" s="265">
        <f t="shared" si="37"/>
        <v>0</v>
      </c>
      <c r="G38" s="265">
        <f t="shared" si="37"/>
        <v>391674.82999999996</v>
      </c>
      <c r="H38" s="265">
        <f t="shared" si="37"/>
        <v>0</v>
      </c>
      <c r="I38" s="265">
        <f t="shared" si="37"/>
        <v>0</v>
      </c>
      <c r="J38" s="265">
        <f t="shared" si="37"/>
        <v>0</v>
      </c>
      <c r="K38" s="265">
        <f t="shared" si="37"/>
        <v>0</v>
      </c>
      <c r="L38" s="265">
        <f t="shared" si="37"/>
        <v>0</v>
      </c>
      <c r="M38" s="265">
        <f t="shared" si="37"/>
        <v>66850.51</v>
      </c>
      <c r="N38" s="265">
        <f t="shared" si="37"/>
        <v>0</v>
      </c>
      <c r="O38" s="265">
        <f t="shared" si="37"/>
        <v>23187.109999999997</v>
      </c>
      <c r="P38" s="265">
        <f t="shared" si="37"/>
        <v>0</v>
      </c>
      <c r="Q38" s="265">
        <f t="shared" si="37"/>
        <v>0</v>
      </c>
      <c r="R38" s="265">
        <f t="shared" si="37"/>
        <v>0</v>
      </c>
      <c r="S38" s="265">
        <f t="shared" si="37"/>
        <v>0</v>
      </c>
      <c r="T38" s="265">
        <f t="shared" si="37"/>
        <v>0</v>
      </c>
      <c r="U38" s="265">
        <f t="shared" si="37"/>
        <v>481712.44999999995</v>
      </c>
      <c r="V38" s="265">
        <f t="shared" si="37"/>
        <v>0</v>
      </c>
      <c r="W38" s="265">
        <f t="shared" si="37"/>
        <v>0</v>
      </c>
      <c r="X38" s="265">
        <f t="shared" si="37"/>
        <v>361365.9</v>
      </c>
      <c r="Y38" s="265">
        <f t="shared" si="37"/>
        <v>0</v>
      </c>
      <c r="Z38" s="265">
        <f t="shared" si="37"/>
        <v>0</v>
      </c>
      <c r="AA38" s="265">
        <f t="shared" si="37"/>
        <v>83336.08000000002</v>
      </c>
      <c r="AB38" s="265">
        <f t="shared" si="37"/>
        <v>30167.93</v>
      </c>
      <c r="AC38" s="265">
        <f t="shared" si="37"/>
        <v>0</v>
      </c>
      <c r="AD38" s="265">
        <f t="shared" si="37"/>
        <v>0</v>
      </c>
      <c r="AE38" s="265">
        <f t="shared" si="37"/>
        <v>0</v>
      </c>
      <c r="AF38" s="265">
        <f t="shared" si="37"/>
        <v>474869.91000000003</v>
      </c>
      <c r="AG38" s="265">
        <f t="shared" si="37"/>
        <v>475736.67299999995</v>
      </c>
      <c r="AH38" s="265">
        <f t="shared" si="37"/>
        <v>0</v>
      </c>
      <c r="AI38" s="265">
        <f t="shared" si="37"/>
        <v>0</v>
      </c>
      <c r="AJ38" s="265">
        <f t="shared" si="37"/>
        <v>360494.1139999999</v>
      </c>
      <c r="AK38" s="265">
        <f t="shared" si="37"/>
        <v>36977.140799999994</v>
      </c>
      <c r="AL38" s="265">
        <f t="shared" si="37"/>
        <v>10416.096</v>
      </c>
      <c r="AM38" s="265">
        <f t="shared" si="37"/>
        <v>52080.48</v>
      </c>
      <c r="AN38" s="265">
        <f t="shared" si="37"/>
        <v>10936.900800000001</v>
      </c>
      <c r="AO38" s="265">
        <f t="shared" si="37"/>
        <v>105202.5696</v>
      </c>
      <c r="AP38" s="265">
        <f t="shared" si="37"/>
        <v>53642.89440000002</v>
      </c>
      <c r="AQ38" s="265">
        <f t="shared" si="37"/>
        <v>39060.35999999999</v>
      </c>
      <c r="AR38" s="265">
        <f t="shared" si="37"/>
        <v>39060.35999999999</v>
      </c>
      <c r="AS38" s="265">
        <f t="shared" si="37"/>
        <v>29946.275999999994</v>
      </c>
      <c r="AT38" s="265">
        <f t="shared" si="37"/>
        <v>13351.2</v>
      </c>
      <c r="AU38" s="265">
        <f t="shared" si="37"/>
        <v>39455</v>
      </c>
      <c r="AV38" s="265">
        <f t="shared" si="37"/>
        <v>0</v>
      </c>
      <c r="AW38" s="265">
        <f t="shared" si="37"/>
        <v>7517.32</v>
      </c>
      <c r="AX38" s="265">
        <f t="shared" si="37"/>
        <v>44378.579999999994</v>
      </c>
      <c r="AY38" s="265">
        <f t="shared" si="37"/>
        <v>0</v>
      </c>
      <c r="AZ38" s="265">
        <f>SUM(BB26:BB37)</f>
        <v>0</v>
      </c>
      <c r="BA38" s="265">
        <f>SUM(BC26:BC37)</f>
        <v>482025.1776</v>
      </c>
      <c r="BB38" s="265">
        <f>SUM(BD26:BD37)</f>
        <v>41588.441</v>
      </c>
      <c r="BC38" s="265">
        <f>SUM(BC26:BC37)</f>
        <v>482025.1776</v>
      </c>
      <c r="BD38" s="265">
        <f>SUM(BD26:BD37)</f>
        <v>41588.441</v>
      </c>
      <c r="BE38" s="265">
        <f>SUM(BE26:BE37)</f>
        <v>523613.6186</v>
      </c>
      <c r="BF38" s="265">
        <f>SUM(BF26:BF37)</f>
        <v>312617.1684000001</v>
      </c>
      <c r="BG38" s="265">
        <f>SUM(BG26:BG37)</f>
        <v>-6842.539999999997</v>
      </c>
    </row>
    <row r="39" spans="1:59" s="23" customFormat="1" ht="13.5" thickBot="1">
      <c r="A39" s="266"/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8"/>
      <c r="BF39" s="267"/>
      <c r="BG39" s="269"/>
    </row>
    <row r="40" spans="1:59" s="23" customFormat="1" ht="13.5" thickBot="1">
      <c r="A40" s="26" t="s">
        <v>52</v>
      </c>
      <c r="B40" s="267"/>
      <c r="C40" s="270">
        <f aca="true" t="shared" si="38" ref="C40:AD40">C38+C24</f>
        <v>1929332.2084000001</v>
      </c>
      <c r="D40" s="270">
        <f t="shared" si="38"/>
        <v>119691.6720136</v>
      </c>
      <c r="E40" s="270">
        <f t="shared" si="38"/>
        <v>85762.05999999998</v>
      </c>
      <c r="F40" s="270">
        <f t="shared" si="38"/>
        <v>17754.22</v>
      </c>
      <c r="G40" s="270">
        <f t="shared" si="38"/>
        <v>664673.2</v>
      </c>
      <c r="H40" s="270">
        <f t="shared" si="38"/>
        <v>0</v>
      </c>
      <c r="I40" s="270">
        <f t="shared" si="38"/>
        <v>116057.09</v>
      </c>
      <c r="J40" s="270">
        <f t="shared" si="38"/>
        <v>24034.300000000003</v>
      </c>
      <c r="K40" s="270">
        <f t="shared" si="38"/>
        <v>193242.77000000002</v>
      </c>
      <c r="L40" s="270">
        <f t="shared" si="38"/>
        <v>40012.75</v>
      </c>
      <c r="M40" s="270">
        <f t="shared" si="38"/>
        <v>478423.89</v>
      </c>
      <c r="N40" s="270">
        <f t="shared" si="38"/>
        <v>57766.579999999994</v>
      </c>
      <c r="O40" s="270">
        <f t="shared" si="38"/>
        <v>137800.55</v>
      </c>
      <c r="P40" s="270">
        <f t="shared" si="38"/>
        <v>14202.67</v>
      </c>
      <c r="Q40" s="270">
        <f t="shared" si="38"/>
        <v>0</v>
      </c>
      <c r="R40" s="270">
        <f t="shared" si="38"/>
        <v>0</v>
      </c>
      <c r="S40" s="270">
        <f t="shared" si="38"/>
        <v>0</v>
      </c>
      <c r="T40" s="270">
        <f t="shared" si="38"/>
        <v>0</v>
      </c>
      <c r="U40" s="270">
        <f t="shared" si="38"/>
        <v>1675959.56</v>
      </c>
      <c r="V40" s="270">
        <f t="shared" si="38"/>
        <v>153770.52</v>
      </c>
      <c r="W40" s="270">
        <f t="shared" si="38"/>
        <v>85622.92000000001</v>
      </c>
      <c r="X40" s="270">
        <f t="shared" si="38"/>
        <v>593636.1900000001</v>
      </c>
      <c r="Y40" s="270">
        <f t="shared" si="38"/>
        <v>113851.27</v>
      </c>
      <c r="Z40" s="270">
        <f t="shared" si="38"/>
        <v>191886.43</v>
      </c>
      <c r="AA40" s="270">
        <f t="shared" si="38"/>
        <v>475363.00000000006</v>
      </c>
      <c r="AB40" s="270">
        <f t="shared" si="38"/>
        <v>143505.61</v>
      </c>
      <c r="AC40" s="270">
        <f t="shared" si="38"/>
        <v>0</v>
      </c>
      <c r="AD40" s="270">
        <f t="shared" si="38"/>
        <v>0</v>
      </c>
      <c r="AE40" s="270" t="e">
        <f>AE38+AF24</f>
        <v>#REF!</v>
      </c>
      <c r="AF40" s="270" t="e">
        <f>AF38+#REF!</f>
        <v>#REF!</v>
      </c>
      <c r="AG40" s="270">
        <f aca="true" t="shared" si="39" ref="AG40:BG40">AG38+AG24</f>
        <v>1871877.4220136</v>
      </c>
      <c r="AH40" s="270">
        <f t="shared" si="39"/>
        <v>0</v>
      </c>
      <c r="AI40" s="270">
        <f t="shared" si="39"/>
        <v>0</v>
      </c>
      <c r="AJ40" s="270">
        <f t="shared" si="39"/>
        <v>369243.53399999987</v>
      </c>
      <c r="AK40" s="270">
        <f t="shared" si="39"/>
        <v>141147.41959999996</v>
      </c>
      <c r="AL40" s="270">
        <f t="shared" si="39"/>
        <v>44045.48891207999</v>
      </c>
      <c r="AM40" s="270">
        <f t="shared" si="39"/>
        <v>219162.05967437403</v>
      </c>
      <c r="AN40" s="270">
        <f t="shared" si="39"/>
        <v>21874.0956</v>
      </c>
      <c r="AO40" s="270">
        <f t="shared" si="39"/>
        <v>325111.66901109094</v>
      </c>
      <c r="AP40" s="270">
        <f t="shared" si="39"/>
        <v>363886.02680528</v>
      </c>
      <c r="AQ40" s="270">
        <f t="shared" si="39"/>
        <v>78121.76999999999</v>
      </c>
      <c r="AR40" s="270">
        <f t="shared" si="39"/>
        <v>78121.76999999999</v>
      </c>
      <c r="AS40" s="270">
        <f t="shared" si="39"/>
        <v>59894.16199999999</v>
      </c>
      <c r="AT40" s="270">
        <f t="shared" si="39"/>
        <v>22542</v>
      </c>
      <c r="AU40" s="270">
        <f t="shared" si="39"/>
        <v>238162.5568</v>
      </c>
      <c r="AV40" s="270">
        <f t="shared" si="39"/>
        <v>806</v>
      </c>
      <c r="AW40" s="270">
        <f t="shared" si="39"/>
        <v>86771.59599999999</v>
      </c>
      <c r="AX40" s="270">
        <f t="shared" si="39"/>
        <v>111320.79079999999</v>
      </c>
      <c r="AY40" s="270">
        <f t="shared" si="39"/>
        <v>32475.3552</v>
      </c>
      <c r="AZ40" s="270">
        <f t="shared" si="39"/>
        <v>0</v>
      </c>
      <c r="BA40" s="270">
        <f t="shared" si="39"/>
        <v>601533.1776</v>
      </c>
      <c r="BB40" s="270">
        <f t="shared" si="39"/>
        <v>63099.880999999994</v>
      </c>
      <c r="BC40" s="270">
        <f t="shared" si="39"/>
        <v>1964462.2004028251</v>
      </c>
      <c r="BD40" s="270">
        <f t="shared" si="39"/>
        <v>43850.796</v>
      </c>
      <c r="BE40" s="271">
        <f t="shared" si="39"/>
        <v>1601518.442002825</v>
      </c>
      <c r="BF40" s="270">
        <f t="shared" si="39"/>
        <v>233107.9596107751</v>
      </c>
      <c r="BG40" s="272">
        <f t="shared" si="39"/>
        <v>-77544.33000000003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42">
      <selection activeCell="E49" sqref="E49"/>
    </sheetView>
  </sheetViews>
  <sheetFormatPr defaultColWidth="9.00390625" defaultRowHeight="12.75"/>
  <cols>
    <col min="1" max="1" width="9.125" style="191" customWidth="1"/>
    <col min="2" max="2" width="10.00390625" style="191" customWidth="1"/>
    <col min="3" max="3" width="11.75390625" style="191" customWidth="1"/>
    <col min="4" max="4" width="10.75390625" style="191" customWidth="1"/>
    <col min="5" max="5" width="11.375" style="191" customWidth="1"/>
    <col min="6" max="6" width="9.875" style="191" customWidth="1"/>
    <col min="7" max="8" width="11.375" style="191" customWidth="1"/>
    <col min="9" max="9" width="10.375" style="191" customWidth="1"/>
    <col min="10" max="10" width="9.875" style="191" customWidth="1"/>
    <col min="11" max="11" width="9.00390625" style="191" customWidth="1"/>
    <col min="12" max="12" width="11.375" style="191" customWidth="1"/>
    <col min="13" max="13" width="10.625" style="191" customWidth="1"/>
    <col min="14" max="14" width="11.25390625" style="191" customWidth="1"/>
    <col min="15" max="15" width="11.75390625" style="191" customWidth="1"/>
    <col min="16" max="17" width="10.625" style="191" customWidth="1"/>
    <col min="18" max="16384" width="9.125" style="191" customWidth="1"/>
  </cols>
  <sheetData>
    <row r="1" spans="2:9" ht="20.25" customHeight="1">
      <c r="B1" s="458" t="s">
        <v>53</v>
      </c>
      <c r="C1" s="458"/>
      <c r="D1" s="458"/>
      <c r="E1" s="458"/>
      <c r="F1" s="458"/>
      <c r="G1" s="458"/>
      <c r="H1" s="458"/>
      <c r="I1" s="28"/>
    </row>
    <row r="2" spans="2:9" ht="21" customHeight="1">
      <c r="B2" s="458" t="s">
        <v>54</v>
      </c>
      <c r="C2" s="458"/>
      <c r="D2" s="458"/>
      <c r="E2" s="458"/>
      <c r="F2" s="458"/>
      <c r="G2" s="458"/>
      <c r="H2" s="458"/>
      <c r="I2" s="28"/>
    </row>
    <row r="5" spans="1:16" ht="12.75">
      <c r="A5" s="395" t="s">
        <v>122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</row>
    <row r="6" spans="1:16" ht="12.75">
      <c r="A6" s="459" t="s">
        <v>128</v>
      </c>
      <c r="B6" s="459"/>
      <c r="C6" s="459"/>
      <c r="D6" s="459"/>
      <c r="E6" s="459"/>
      <c r="F6" s="459"/>
      <c r="G6" s="459"/>
      <c r="H6" s="109"/>
      <c r="I6" s="109"/>
      <c r="J6" s="109"/>
      <c r="K6" s="109"/>
      <c r="L6" s="109"/>
      <c r="M6" s="109"/>
      <c r="N6" s="109"/>
      <c r="O6" s="109"/>
      <c r="P6" s="109"/>
    </row>
    <row r="7" spans="1:6" ht="13.5" thickBot="1">
      <c r="A7" s="460" t="s">
        <v>55</v>
      </c>
      <c r="B7" s="460"/>
      <c r="C7" s="460"/>
      <c r="D7" s="460"/>
      <c r="E7" s="460">
        <v>9.61</v>
      </c>
      <c r="F7" s="460"/>
    </row>
    <row r="8" spans="1:17" ht="12.75" customHeight="1">
      <c r="A8" s="396" t="s">
        <v>56</v>
      </c>
      <c r="B8" s="399" t="s">
        <v>0</v>
      </c>
      <c r="C8" s="402" t="s">
        <v>127</v>
      </c>
      <c r="D8" s="405" t="s">
        <v>2</v>
      </c>
      <c r="E8" s="408" t="s">
        <v>58</v>
      </c>
      <c r="F8" s="342"/>
      <c r="G8" s="463" t="s">
        <v>118</v>
      </c>
      <c r="H8" s="464"/>
      <c r="I8" s="469" t="s">
        <v>123</v>
      </c>
      <c r="J8" s="472" t="s">
        <v>8</v>
      </c>
      <c r="K8" s="473"/>
      <c r="L8" s="473"/>
      <c r="M8" s="473"/>
      <c r="N8" s="473"/>
      <c r="O8" s="474"/>
      <c r="P8" s="386" t="s">
        <v>59</v>
      </c>
      <c r="Q8" s="386" t="s">
        <v>10</v>
      </c>
    </row>
    <row r="9" spans="1:17" ht="12.75">
      <c r="A9" s="397"/>
      <c r="B9" s="400"/>
      <c r="C9" s="403"/>
      <c r="D9" s="406"/>
      <c r="E9" s="409"/>
      <c r="F9" s="410"/>
      <c r="G9" s="465"/>
      <c r="H9" s="466"/>
      <c r="I9" s="470"/>
      <c r="J9" s="475"/>
      <c r="K9" s="476"/>
      <c r="L9" s="476"/>
      <c r="M9" s="476"/>
      <c r="N9" s="476"/>
      <c r="O9" s="330"/>
      <c r="P9" s="387"/>
      <c r="Q9" s="387"/>
    </row>
    <row r="10" spans="1:17" ht="26.25" customHeight="1">
      <c r="A10" s="397"/>
      <c r="B10" s="400"/>
      <c r="C10" s="403"/>
      <c r="D10" s="406"/>
      <c r="E10" s="389" t="s">
        <v>60</v>
      </c>
      <c r="F10" s="347"/>
      <c r="G10" s="273" t="s">
        <v>61</v>
      </c>
      <c r="H10" s="461" t="s">
        <v>5</v>
      </c>
      <c r="I10" s="470"/>
      <c r="J10" s="392" t="s">
        <v>62</v>
      </c>
      <c r="K10" s="381" t="s">
        <v>119</v>
      </c>
      <c r="L10" s="381" t="s">
        <v>63</v>
      </c>
      <c r="M10" s="381" t="s">
        <v>35</v>
      </c>
      <c r="N10" s="461" t="s">
        <v>124</v>
      </c>
      <c r="O10" s="461" t="s">
        <v>37</v>
      </c>
      <c r="P10" s="387"/>
      <c r="Q10" s="387"/>
    </row>
    <row r="11" spans="1:17" ht="66.75" customHeight="1" thickBot="1">
      <c r="A11" s="398"/>
      <c r="B11" s="401"/>
      <c r="C11" s="404"/>
      <c r="D11" s="407"/>
      <c r="E11" s="33" t="s">
        <v>65</v>
      </c>
      <c r="F11" s="34" t="s">
        <v>19</v>
      </c>
      <c r="G11" s="189" t="s">
        <v>120</v>
      </c>
      <c r="H11" s="462"/>
      <c r="I11" s="471"/>
      <c r="J11" s="393"/>
      <c r="K11" s="382"/>
      <c r="L11" s="382"/>
      <c r="M11" s="382"/>
      <c r="N11" s="462"/>
      <c r="O11" s="462"/>
      <c r="P11" s="388"/>
      <c r="Q11" s="388"/>
    </row>
    <row r="12" spans="1:17" ht="13.5" thickBot="1">
      <c r="A12" s="36">
        <v>1</v>
      </c>
      <c r="B12" s="37">
        <v>2</v>
      </c>
      <c r="C12" s="36">
        <v>3</v>
      </c>
      <c r="D12" s="37">
        <v>4</v>
      </c>
      <c r="E12" s="36">
        <v>5</v>
      </c>
      <c r="F12" s="37">
        <v>6</v>
      </c>
      <c r="G12" s="36">
        <v>7</v>
      </c>
      <c r="H12" s="37">
        <v>8</v>
      </c>
      <c r="I12" s="37">
        <v>9</v>
      </c>
      <c r="J12" s="36">
        <v>10</v>
      </c>
      <c r="K12" s="37">
        <v>11</v>
      </c>
      <c r="L12" s="37">
        <v>12</v>
      </c>
      <c r="M12" s="36">
        <v>13</v>
      </c>
      <c r="N12" s="37">
        <v>14</v>
      </c>
      <c r="O12" s="37">
        <v>14</v>
      </c>
      <c r="P12" s="37">
        <v>15</v>
      </c>
      <c r="Q12" s="36">
        <v>16</v>
      </c>
    </row>
    <row r="13" spans="1:19" ht="13.5" hidden="1" thickBot="1">
      <c r="A13" s="8" t="s">
        <v>42</v>
      </c>
      <c r="B13" s="274"/>
      <c r="C13" s="58"/>
      <c r="D13" s="59"/>
      <c r="E13" s="275"/>
      <c r="F13" s="276"/>
      <c r="G13" s="277"/>
      <c r="H13" s="276"/>
      <c r="I13" s="303"/>
      <c r="J13" s="277"/>
      <c r="K13" s="278"/>
      <c r="L13" s="278"/>
      <c r="M13" s="279"/>
      <c r="N13" s="280"/>
      <c r="O13" s="305"/>
      <c r="P13" s="281"/>
      <c r="Q13" s="281"/>
      <c r="R13" s="190"/>
      <c r="S13" s="190"/>
    </row>
    <row r="14" spans="1:19" ht="13.5" hidden="1" thickBot="1">
      <c r="A14" s="203" t="s">
        <v>43</v>
      </c>
      <c r="B14" s="282">
        <f>'[3]Лист1'!B8</f>
        <v>0</v>
      </c>
      <c r="C14" s="44">
        <f aca="true" t="shared" si="0" ref="C14:C25">B14*8.65</f>
        <v>0</v>
      </c>
      <c r="D14" s="45">
        <f>'[3]Лист1'!D8</f>
        <v>0</v>
      </c>
      <c r="E14" s="278">
        <f>'[3]Лист1'!S8</f>
        <v>0</v>
      </c>
      <c r="F14" s="280">
        <f>'[3]Лист1'!T8</f>
        <v>0</v>
      </c>
      <c r="G14" s="283">
        <f>'[3]Лист1'!AB8</f>
        <v>0</v>
      </c>
      <c r="H14" s="280">
        <f>'[3]Лист1'!AC8</f>
        <v>0</v>
      </c>
      <c r="I14" s="304"/>
      <c r="J14" s="283">
        <f>'[3]Лист1'!AG8</f>
        <v>0</v>
      </c>
      <c r="K14" s="278">
        <f>'[3]Лист1'!AI8+'[3]Лист1'!AJ8</f>
        <v>0</v>
      </c>
      <c r="L14" s="278">
        <f>'[3]Лист1'!AH8+'[3]Лист1'!AK8+'[3]Лист1'!AL8+'[3]Лист1'!AM8+'[3]Лист1'!AN8+'[3]Лист1'!AO8+'[3]Лист1'!AP8+'[3]Лист1'!AQ8+'[3]Лист1'!AR8</f>
        <v>0</v>
      </c>
      <c r="M14" s="279">
        <f>'[3]Лист1'!AS8+'[3]Лист1'!AT8+'[3]Лист1'!AU8+'[3]Лист1'!AZ8+'[3]Лист1'!BA8</f>
        <v>0</v>
      </c>
      <c r="N14" s="280">
        <f>'[3]Лист1'!BB8</f>
        <v>0</v>
      </c>
      <c r="O14" s="305"/>
      <c r="P14" s="281">
        <f>'[3]Лист1'!BD8</f>
        <v>0</v>
      </c>
      <c r="Q14" s="281">
        <f>'[3]Лист1'!BE8</f>
        <v>0</v>
      </c>
      <c r="R14" s="190"/>
      <c r="S14" s="190"/>
    </row>
    <row r="15" spans="1:19" ht="13.5" hidden="1" thickBot="1">
      <c r="A15" s="203" t="s">
        <v>44</v>
      </c>
      <c r="B15" s="282">
        <f>'[3]Лист1'!B9</f>
        <v>347</v>
      </c>
      <c r="C15" s="44">
        <f t="shared" si="0"/>
        <v>3001.55</v>
      </c>
      <c r="D15" s="45">
        <f>'[3]Лист1'!D9</f>
        <v>375.19375</v>
      </c>
      <c r="E15" s="278">
        <f>'[3]Лист1'!S9</f>
        <v>1402.63</v>
      </c>
      <c r="F15" s="280">
        <f>'[3]Лист1'!T9</f>
        <v>770.85</v>
      </c>
      <c r="G15" s="283">
        <f>'[3]Лист1'!AB9</f>
        <v>1205.52</v>
      </c>
      <c r="H15" s="280">
        <f>'[3]Лист1'!AC9</f>
        <v>2351.5637500000003</v>
      </c>
      <c r="I15" s="304"/>
      <c r="J15" s="283">
        <f>'[3]Лист1'!AG9</f>
        <v>187.38</v>
      </c>
      <c r="K15" s="278">
        <f>'[3]Лист1'!AI9+'[3]Лист1'!AJ9</f>
        <v>301.727947</v>
      </c>
      <c r="L15" s="278">
        <f>'[3]Лист1'!AH9+'[3]Лист1'!AK9+'[3]Лист1'!AL9+'[3]Лист1'!AM9+'[3]Лист1'!AN9+'[3]Лист1'!AO9+'[3]Лист1'!AP9+'[3]Лист1'!AQ9+'[3]Лист1'!AR9</f>
        <v>1036.33545944</v>
      </c>
      <c r="M15" s="279">
        <f>'[3]Лист1'!AS9+'[3]Лист1'!AT9+'[3]Лист1'!AU9+'[3]Лист1'!AZ9+'[3]Лист1'!BA9</f>
        <v>0</v>
      </c>
      <c r="N15" s="280">
        <f>'[3]Лист1'!BB9</f>
        <v>1525.4434064399998</v>
      </c>
      <c r="O15" s="305"/>
      <c r="P15" s="281">
        <f>'[3]Лист1'!BD9</f>
        <v>826.1203435600005</v>
      </c>
      <c r="Q15" s="281">
        <f>'[3]Лист1'!BE9</f>
        <v>-197.11000000000013</v>
      </c>
      <c r="R15" s="190"/>
      <c r="S15" s="190"/>
    </row>
    <row r="16" spans="1:19" ht="13.5" hidden="1" thickBot="1">
      <c r="A16" s="203" t="s">
        <v>45</v>
      </c>
      <c r="B16" s="282">
        <f>'[3]Лист1'!B10</f>
        <v>347</v>
      </c>
      <c r="C16" s="44">
        <f t="shared" si="0"/>
        <v>3001.55</v>
      </c>
      <c r="D16" s="45">
        <f>'[3]Лист1'!D10</f>
        <v>375.19375</v>
      </c>
      <c r="E16" s="278">
        <f>'[3]Лист1'!S10</f>
        <v>1402.63</v>
      </c>
      <c r="F16" s="280">
        <f>'[3]Лист1'!T10</f>
        <v>770.85</v>
      </c>
      <c r="G16" s="283">
        <f>'[3]Лист1'!AB10</f>
        <v>1141.3000000000002</v>
      </c>
      <c r="H16" s="280">
        <f>'[3]Лист1'!AC10</f>
        <v>2287.34375</v>
      </c>
      <c r="I16" s="304"/>
      <c r="J16" s="283">
        <f>'[3]Лист1'!AG10</f>
        <v>187.38</v>
      </c>
      <c r="K16" s="278">
        <f>'[3]Лист1'!AI10+'[3]Лист1'!AJ10</f>
        <v>301.403506</v>
      </c>
      <c r="L16" s="278">
        <f>'[3]Лист1'!AH10+'[3]Лист1'!AK10+'[3]Лист1'!AL10+'[3]Лист1'!AM10+'[3]Лист1'!AN10+'[3]Лист1'!AO10+'[3]Лист1'!AP10+'[3]Лист1'!AQ10+'[3]Лист1'!AR10</f>
        <v>1037.8314805399998</v>
      </c>
      <c r="M16" s="279">
        <f>'[3]Лист1'!AS10+'[3]Лист1'!AT10+'[3]Лист1'!AU10+'[3]Лист1'!AZ10+'[3]Лист1'!BA10</f>
        <v>1569.4</v>
      </c>
      <c r="N16" s="280">
        <f>'[3]Лист1'!BB10</f>
        <v>3096.0149865399994</v>
      </c>
      <c r="O16" s="305"/>
      <c r="P16" s="281">
        <f>'[3]Лист1'!BD10</f>
        <v>-808.6712365399994</v>
      </c>
      <c r="Q16" s="281">
        <f>'[3]Лист1'!BE10</f>
        <v>-261.3299999999999</v>
      </c>
      <c r="R16" s="190"/>
      <c r="S16" s="190"/>
    </row>
    <row r="17" spans="1:19" ht="13.5" hidden="1" thickBot="1">
      <c r="A17" s="203" t="s">
        <v>46</v>
      </c>
      <c r="B17" s="282">
        <f>'[3]Лист1'!B11</f>
        <v>347</v>
      </c>
      <c r="C17" s="44">
        <f t="shared" si="0"/>
        <v>3001.55</v>
      </c>
      <c r="D17" s="45">
        <f>'[3]Лист1'!D11</f>
        <v>375.19375</v>
      </c>
      <c r="E17" s="278">
        <f>'[3]Лист1'!S11</f>
        <v>1402.63</v>
      </c>
      <c r="F17" s="280">
        <f>'[3]Лист1'!T11</f>
        <v>770.85</v>
      </c>
      <c r="G17" s="283">
        <f>'[3]Лист1'!AB11</f>
        <v>1864.7600000000002</v>
      </c>
      <c r="H17" s="280">
        <f>'[3]Лист1'!AC11</f>
        <v>3010.80375</v>
      </c>
      <c r="I17" s="304"/>
      <c r="J17" s="283">
        <f>'[3]Лист1'!AG11</f>
        <v>187.38</v>
      </c>
      <c r="K17" s="278">
        <f>'[3]Лист1'!AI11+'[3]Лист1'!AJ11</f>
        <v>301.9373675</v>
      </c>
      <c r="L17" s="278">
        <f>'[3]Лист1'!AH11+'[3]Лист1'!AK11+'[3]Лист1'!AL11+'[3]Лист1'!AM11+'[3]Лист1'!AN11+'[3]Лист1'!AO11+'[3]Лист1'!AP11+'[3]Лист1'!AQ11+'[3]Лист1'!AR11</f>
        <v>1003.1883752000001</v>
      </c>
      <c r="M17" s="279">
        <f>'[3]Лист1'!AS11+'[3]Лист1'!AT11+'[3]Лист1'!AU11+'[3]Лист1'!AY11+'[3]Лист1'!AZ11</f>
        <v>0</v>
      </c>
      <c r="N17" s="280">
        <f>'[3]Лист1'!BB11</f>
        <v>1492.5057427</v>
      </c>
      <c r="O17" s="305"/>
      <c r="P17" s="281">
        <f>'[3]Лист1'!BD11</f>
        <v>1518.2980073</v>
      </c>
      <c r="Q17" s="281">
        <f>'[3]Лист1'!BE11</f>
        <v>462.1300000000001</v>
      </c>
      <c r="R17" s="190"/>
      <c r="S17" s="190"/>
    </row>
    <row r="18" spans="1:19" ht="13.5" hidden="1" thickBot="1">
      <c r="A18" s="203" t="s">
        <v>47</v>
      </c>
      <c r="B18" s="282">
        <f>'[3]Лист1'!B12</f>
        <v>347</v>
      </c>
      <c r="C18" s="44">
        <f t="shared" si="0"/>
        <v>3001.55</v>
      </c>
      <c r="D18" s="45">
        <f>'[3]Лист1'!D12</f>
        <v>375.19375</v>
      </c>
      <c r="E18" s="278">
        <f>'[3]Лист1'!S12</f>
        <v>1401.9099999999999</v>
      </c>
      <c r="F18" s="280">
        <f>'[3]Лист1'!T12</f>
        <v>770.85</v>
      </c>
      <c r="G18" s="283">
        <f>'[3]Лист1'!AB12</f>
        <v>1402.6</v>
      </c>
      <c r="H18" s="280">
        <f>'[3]Лист1'!AC12</f>
        <v>2548.64375</v>
      </c>
      <c r="I18" s="304"/>
      <c r="J18" s="283">
        <f>'[3]Лист1'!AG12</f>
        <v>187.38</v>
      </c>
      <c r="K18" s="278">
        <f>'[3]Лист1'!AI12+'[3]Лист1'!AJ12</f>
        <v>310.800613</v>
      </c>
      <c r="L18" s="278">
        <f>'[3]Лист1'!AH12+'[3]Лист1'!AK12+'[3]Лист1'!AL12+'[3]Лист1'!AM12+'[3]Лист1'!AN12+'[3]Лист1'!AO12+'[3]Лист1'!AP12+'[3]Лист1'!AQ12+'[3]Лист1'!AR12</f>
        <v>1017.49191592</v>
      </c>
      <c r="M18" s="279">
        <f>'[3]Лист1'!AS12+'[3]Лист1'!AT12+'[3]Лист1'!AU12+'[3]Лист1'!AZ12+'[3]Лист1'!BA12</f>
        <v>0</v>
      </c>
      <c r="N18" s="280">
        <f>'[3]Лист1'!BB12</f>
        <v>1833.8477289200002</v>
      </c>
      <c r="O18" s="305"/>
      <c r="P18" s="281">
        <f>'[3]Лист1'!BD12</f>
        <v>714.79602108</v>
      </c>
      <c r="Q18" s="281">
        <f>'[3]Лист1'!BE12</f>
        <v>0.6900000000000546</v>
      </c>
      <c r="R18" s="190"/>
      <c r="S18" s="190"/>
    </row>
    <row r="19" spans="1:19" ht="13.5" hidden="1" thickBot="1">
      <c r="A19" s="203" t="s">
        <v>48</v>
      </c>
      <c r="B19" s="282">
        <f>'[3]Лист1'!B13</f>
        <v>347</v>
      </c>
      <c r="C19" s="44">
        <f t="shared" si="0"/>
        <v>3001.55</v>
      </c>
      <c r="D19" s="45">
        <f>'[3]Лист1'!D13</f>
        <v>577.8599999999997</v>
      </c>
      <c r="E19" s="278">
        <f>'[3]Лист1'!S13</f>
        <v>1563.57</v>
      </c>
      <c r="F19" s="280">
        <f>'[3]Лист1'!T13</f>
        <v>860.12</v>
      </c>
      <c r="G19" s="283">
        <f>'[3]Лист1'!AB13</f>
        <v>1101.03</v>
      </c>
      <c r="H19" s="280">
        <f>'[3]Лист1'!AC13</f>
        <v>2539.0099999999993</v>
      </c>
      <c r="I19" s="304"/>
      <c r="J19" s="283">
        <f>'[3]Лист1'!AG13</f>
        <v>208.2</v>
      </c>
      <c r="K19" s="278">
        <f>'[3]Лист1'!AI13+'[3]Лист1'!AJ13</f>
        <v>348.041</v>
      </c>
      <c r="L19" s="278">
        <f>'[3]Лист1'!AH13+'[3]Лист1'!AK13+'[3]Лист1'!AL13+'[3]Лист1'!AM13+'[3]Лист1'!AN13+'[3]Лист1'!AO13+'[3]Лист1'!AP13+'[3]Лист1'!AQ13+'[3]Лист1'!AR13</f>
        <v>1192.0144</v>
      </c>
      <c r="M19" s="279">
        <f>'[3]Лист1'!AS13+'[3]Лист1'!AT13+'[3]Лист1'!AU13+'[3]Лист1'!AZ13+'[3]Лист1'!BA13</f>
        <v>0</v>
      </c>
      <c r="N19" s="280">
        <f>'[3]Лист1'!BB13</f>
        <v>1800.3925199999999</v>
      </c>
      <c r="O19" s="305"/>
      <c r="P19" s="281">
        <f>'[3]Лист1'!BD13</f>
        <v>738.6174799999994</v>
      </c>
      <c r="Q19" s="281">
        <f>'[3]Лист1'!BE13</f>
        <v>-462.53999999999996</v>
      </c>
      <c r="R19" s="190"/>
      <c r="S19" s="190"/>
    </row>
    <row r="20" spans="1:19" ht="13.5" hidden="1" thickBot="1">
      <c r="A20" s="203" t="s">
        <v>49</v>
      </c>
      <c r="B20" s="282">
        <f>'[3]Лист1'!B14</f>
        <v>347</v>
      </c>
      <c r="C20" s="44">
        <f t="shared" si="0"/>
        <v>3001.55</v>
      </c>
      <c r="D20" s="45">
        <f>'[3]Лист1'!D14</f>
        <v>577.73</v>
      </c>
      <c r="E20" s="278">
        <f>'[3]Лист1'!S14</f>
        <v>1563.7</v>
      </c>
      <c r="F20" s="280">
        <f>'[3]Лист1'!T14</f>
        <v>860.12</v>
      </c>
      <c r="G20" s="283">
        <f>'[3]Лист1'!AB14</f>
        <v>1864.8400000000001</v>
      </c>
      <c r="H20" s="280">
        <f>'[3]Лист1'!AC14</f>
        <v>3302.69</v>
      </c>
      <c r="I20" s="304"/>
      <c r="J20" s="283">
        <f>'[3]Лист1'!AG14</f>
        <v>208.2</v>
      </c>
      <c r="K20" s="278">
        <f>'[3]Лист1'!AI14+'[3]Лист1'!AJ14</f>
        <v>348.041</v>
      </c>
      <c r="L20" s="278">
        <f>'[3]Лист1'!AH14+'[3]Лист1'!AK14+'[3]Лист1'!AL14+'[3]Лист1'!AM14+'[3]Лист1'!AN14+'[3]Лист1'!AO14+'[3]Лист1'!AP14+'[3]Лист1'!AQ14+'[3]Лист1'!AR14</f>
        <v>1192.04563</v>
      </c>
      <c r="M20" s="279">
        <f>'[3]Лист1'!AS14+'[3]Лист1'!AT14+'[3]Лист1'!AU14+'[3]Лист1'!AZ14+'[3]Лист1'!BA14</f>
        <v>0</v>
      </c>
      <c r="N20" s="280">
        <f>'[3]Лист1'!BB14</f>
        <v>1794.47655</v>
      </c>
      <c r="O20" s="305"/>
      <c r="P20" s="281">
        <f>'[3]Лист1'!BD14</f>
        <v>1508.21345</v>
      </c>
      <c r="Q20" s="281">
        <f>'[3]Лист1'!BE14</f>
        <v>301.1400000000001</v>
      </c>
      <c r="R20" s="190"/>
      <c r="S20" s="190"/>
    </row>
    <row r="21" spans="1:19" ht="13.5" hidden="1" thickBot="1">
      <c r="A21" s="203" t="s">
        <v>50</v>
      </c>
      <c r="B21" s="282">
        <f>'[3]Лист1'!B15</f>
        <v>347</v>
      </c>
      <c r="C21" s="44">
        <f t="shared" si="0"/>
        <v>3001.55</v>
      </c>
      <c r="D21" s="45">
        <f>'[3]Лист1'!D15</f>
        <v>595.9700000000003</v>
      </c>
      <c r="E21" s="278">
        <f>'[3]Лист1'!S15</f>
        <v>1553.6399999999999</v>
      </c>
      <c r="F21" s="280">
        <f>'[3]Лист1'!T15</f>
        <v>851.9399999999999</v>
      </c>
      <c r="G21" s="283">
        <f>'[3]Лист1'!AB15</f>
        <v>1230.87</v>
      </c>
      <c r="H21" s="280">
        <f>'[3]Лист1'!AC15</f>
        <v>2678.78</v>
      </c>
      <c r="I21" s="304"/>
      <c r="J21" s="283">
        <f>'[3]Лист1'!AG15</f>
        <v>208.2</v>
      </c>
      <c r="K21" s="278">
        <f>'[3]Лист1'!AI15+'[3]Лист1'!AJ15</f>
        <v>343.0988178</v>
      </c>
      <c r="L21" s="278">
        <f>'[3]Лист1'!AH15+'[3]Лист1'!AK15+'[3]Лист1'!AL15+'[3]Лист1'!AM15+'[3]Лист1'!AN15+'[3]Лист1'!AO15+'[3]Лист1'!AP15+'[3]Лист1'!AQ15+'[3]Лист1'!AR15</f>
        <v>1180.18489934</v>
      </c>
      <c r="M21" s="279">
        <f>'[3]Лист1'!AS15+'[3]Лист1'!AT15+'[3]Лист1'!AU15+'[3]Лист1'!AZ15+'[3]Лист1'!BA15</f>
        <v>0</v>
      </c>
      <c r="N21" s="280">
        <f>'[3]Лист1'!BB15</f>
        <v>1780.64723714</v>
      </c>
      <c r="O21" s="305"/>
      <c r="P21" s="281">
        <f>'[3]Лист1'!BD15</f>
        <v>898.1327628600002</v>
      </c>
      <c r="Q21" s="281">
        <f>'[3]Лист1'!BE15</f>
        <v>-322.77</v>
      </c>
      <c r="R21" s="190"/>
      <c r="S21" s="190"/>
    </row>
    <row r="22" spans="1:19" ht="13.5" hidden="1" thickBot="1">
      <c r="A22" s="203" t="s">
        <v>51</v>
      </c>
      <c r="B22" s="282">
        <f>'[3]Лист1'!B16</f>
        <v>347</v>
      </c>
      <c r="C22" s="44">
        <f t="shared" si="0"/>
        <v>3001.55</v>
      </c>
      <c r="D22" s="45">
        <f>'[3]Лист1'!D16</f>
        <v>577.73</v>
      </c>
      <c r="E22" s="278">
        <f>'[3]Лист1'!S16</f>
        <v>1563.7</v>
      </c>
      <c r="F22" s="280">
        <f>'[3]Лист1'!T16</f>
        <v>860.12</v>
      </c>
      <c r="G22" s="283">
        <f>'[3]Лист1'!AB16</f>
        <v>1843.1499999999999</v>
      </c>
      <c r="H22" s="280">
        <f>'[3]Лист1'!AC16</f>
        <v>3281</v>
      </c>
      <c r="I22" s="304"/>
      <c r="J22" s="283">
        <f>'[3]Лист1'!AG16</f>
        <v>208.2</v>
      </c>
      <c r="K22" s="278">
        <f>'[3]Лист1'!AI16+'[3]Лист1'!AJ16</f>
        <v>342.9073952499999</v>
      </c>
      <c r="L22" s="278">
        <f>'[3]Лист1'!AH16+'[3]Лист1'!AK16+'[3]Лист1'!AL16+'[3]Лист1'!AM16+'[3]Лист1'!AN16+'[3]Лист1'!AO16+'[3]Лист1'!AP16+'[3]Лист1'!AQ16+'[3]Лист1'!AR16</f>
        <v>1179.93693314</v>
      </c>
      <c r="M22" s="279">
        <f>'[3]Лист1'!AS16+'[3]Лист1'!AT16+'[3]Лист1'!AU16+'[3]Лист1'!AZ16+'[3]Лист1'!BA16</f>
        <v>0</v>
      </c>
      <c r="N22" s="280">
        <f>'[3]Лист1'!BB16</f>
        <v>1789.1286483900003</v>
      </c>
      <c r="O22" s="305"/>
      <c r="P22" s="281">
        <f>'[3]Лист1'!BD16</f>
        <v>1491.8713516099997</v>
      </c>
      <c r="Q22" s="281">
        <f>'[3]Лист1'!BE16</f>
        <v>279.4499999999998</v>
      </c>
      <c r="R22" s="190"/>
      <c r="S22" s="190"/>
    </row>
    <row r="23" spans="1:19" ht="13.5" hidden="1" thickBot="1">
      <c r="A23" s="203" t="s">
        <v>39</v>
      </c>
      <c r="B23" s="282">
        <f>'[3]Лист1'!B17</f>
        <v>347</v>
      </c>
      <c r="C23" s="44">
        <f t="shared" si="0"/>
        <v>3001.55</v>
      </c>
      <c r="D23" s="45">
        <f>'[3]Лист1'!D17</f>
        <v>577.73</v>
      </c>
      <c r="E23" s="278">
        <f>'[3]Лист1'!S17</f>
        <v>1563.7</v>
      </c>
      <c r="F23" s="280">
        <f>'[3]Лист1'!T17</f>
        <v>860.12</v>
      </c>
      <c r="G23" s="283">
        <f>'[3]Лист1'!AB17</f>
        <v>1231.0300000000002</v>
      </c>
      <c r="H23" s="280">
        <f>'[3]Лист1'!AC17</f>
        <v>2668.88</v>
      </c>
      <c r="I23" s="304"/>
      <c r="J23" s="283">
        <f>'[3]Лист1'!AG17</f>
        <v>208.2</v>
      </c>
      <c r="K23" s="278">
        <f>'[3]Лист1'!AI17+'[3]Лист1'!AJ17</f>
        <v>342.84822827999994</v>
      </c>
      <c r="L23" s="278">
        <f>'[3]Лист1'!AH17+'[3]Лист1'!AK17+'[3]Лист1'!AL17+'[3]Лист1'!AM17+'[3]Лист1'!AN17+'[3]Лист1'!AO17+'[3]Лист1'!AP17+'[3]Лист1'!AQ17+'[3]Лист1'!AR17</f>
        <v>1179.8602711239998</v>
      </c>
      <c r="M23" s="279">
        <f>'[3]Лист1'!AS17+'[3]Лист1'!AT17+'[3]Лист1'!AU17+'[3]Лист1'!AZ17+'[3]Лист1'!BA17</f>
        <v>0</v>
      </c>
      <c r="N23" s="280">
        <f>'[3]Лист1'!BB17</f>
        <v>1800.0942594039993</v>
      </c>
      <c r="O23" s="305"/>
      <c r="P23" s="281">
        <f>'[3]Лист1'!BD17</f>
        <v>868.7857405960008</v>
      </c>
      <c r="Q23" s="281">
        <f>'[3]Лист1'!BE17</f>
        <v>-332.66999999999985</v>
      </c>
      <c r="R23" s="190"/>
      <c r="S23" s="190"/>
    </row>
    <row r="24" spans="1:19" ht="13.5" hidden="1" thickBot="1">
      <c r="A24" s="203" t="s">
        <v>40</v>
      </c>
      <c r="B24" s="282">
        <f>'[3]Лист1'!B18</f>
        <v>347</v>
      </c>
      <c r="C24" s="44">
        <f t="shared" si="0"/>
        <v>3001.55</v>
      </c>
      <c r="D24" s="45">
        <f>'[3]Лист1'!D18</f>
        <v>577.73</v>
      </c>
      <c r="E24" s="278">
        <f>'[3]Лист1'!S18</f>
        <v>1563.7</v>
      </c>
      <c r="F24" s="280">
        <f>'[3]Лист1'!T18</f>
        <v>860.12</v>
      </c>
      <c r="G24" s="283">
        <f>'[3]Лист1'!AB18</f>
        <v>1939.5499999999997</v>
      </c>
      <c r="H24" s="280">
        <f>'[3]Лист1'!AC18</f>
        <v>3377.3999999999996</v>
      </c>
      <c r="I24" s="304"/>
      <c r="J24" s="283">
        <f>'[3]Лист1'!AG18</f>
        <v>208.2</v>
      </c>
      <c r="K24" s="278">
        <f>'[3]Лист1'!AI18+'[3]Лист1'!AJ18</f>
        <v>346.81262</v>
      </c>
      <c r="L24" s="278">
        <f>'[3]Лист1'!AH18+'[3]Лист1'!AK18+'[3]Лист1'!AL18+'[3]Лист1'!AM18+'[3]Лист1'!AN18+'[3]Лист1'!AO18+'[3]Лист1'!AP18+'[3]Лист1'!AQ18+'[3]Лист1'!AR18</f>
        <v>1190.0018</v>
      </c>
      <c r="M24" s="279">
        <f>'[3]Лист1'!AS18+'[3]Лист1'!AT18+'[3]Лист1'!AU18+'[3]Лист1'!AZ18+'[3]Лист1'!BA18</f>
        <v>0</v>
      </c>
      <c r="N24" s="280">
        <f>'[3]Лист1'!BB18</f>
        <v>1829.2664200000002</v>
      </c>
      <c r="O24" s="305"/>
      <c r="P24" s="281">
        <f>'[3]Лист1'!BD18</f>
        <v>1548.1335799999995</v>
      </c>
      <c r="Q24" s="281">
        <f>'[3]Лист1'!BE18</f>
        <v>375.8499999999997</v>
      </c>
      <c r="R24" s="190"/>
      <c r="S24" s="190"/>
    </row>
    <row r="25" spans="1:19" ht="13.5" hidden="1" thickBot="1">
      <c r="A25" s="284" t="s">
        <v>41</v>
      </c>
      <c r="B25" s="282">
        <f>'[3]Лист1'!B19</f>
        <v>347</v>
      </c>
      <c r="C25" s="285">
        <f t="shared" si="0"/>
        <v>3001.55</v>
      </c>
      <c r="D25" s="45">
        <f>'[3]Лист1'!D19</f>
        <v>577.73</v>
      </c>
      <c r="E25" s="278">
        <f>'[3]Лист1'!S19</f>
        <v>1563.7</v>
      </c>
      <c r="F25" s="280">
        <f>'[3]Лист1'!T19</f>
        <v>860.12</v>
      </c>
      <c r="G25" s="283">
        <f>'[3]Лист1'!AB19</f>
        <v>1230.9</v>
      </c>
      <c r="H25" s="280">
        <f>'[3]Лист1'!AC19</f>
        <v>2668.75</v>
      </c>
      <c r="I25" s="304"/>
      <c r="J25" s="283">
        <f>'[3]Лист1'!AG19</f>
        <v>208.2</v>
      </c>
      <c r="K25" s="278">
        <f>'[3]Лист1'!AI19+'[3]Лист1'!AJ19</f>
        <v>348.041</v>
      </c>
      <c r="L25" s="278">
        <f>'[3]Лист1'!AH19+'[3]Лист1'!AK19+'[3]Лист1'!AL19+'[3]Лист1'!AM19+'[3]Лист1'!AN19+'[3]Лист1'!AO19+'[3]Лист1'!AP19+'[3]Лист1'!AQ19+'[3]Лист1'!AR19</f>
        <v>1191.3204</v>
      </c>
      <c r="M25" s="279">
        <f>'[3]Лист1'!AS19+'[3]Лист1'!AT19+'[3]Лист1'!AU19+'[3]Лист1'!AZ19+'[3]Лист1'!BA19</f>
        <v>0</v>
      </c>
      <c r="N25" s="280">
        <f>'[3]Лист1'!BB19</f>
        <v>1840.7342</v>
      </c>
      <c r="O25" s="305"/>
      <c r="P25" s="281">
        <f>'[3]Лист1'!BD19</f>
        <v>828.0157999999999</v>
      </c>
      <c r="Q25" s="281">
        <f>'[3]Лист1'!BE19</f>
        <v>-332.79999999999995</v>
      </c>
      <c r="R25" s="190"/>
      <c r="S25" s="190"/>
    </row>
    <row r="26" spans="1:19" s="23" customFormat="1" ht="13.5" hidden="1" thickBot="1">
      <c r="A26" s="50" t="s">
        <v>3</v>
      </c>
      <c r="B26" s="51"/>
      <c r="C26" s="52">
        <f aca="true" t="shared" si="1" ref="C26:Q26">SUM(C14:C25)</f>
        <v>33017.049999999996</v>
      </c>
      <c r="D26" s="53">
        <f t="shared" si="1"/>
        <v>5563.254999999999</v>
      </c>
      <c r="E26" s="52">
        <f t="shared" si="1"/>
        <v>16545.510000000002</v>
      </c>
      <c r="F26" s="54">
        <f t="shared" si="1"/>
        <v>9096.060000000001</v>
      </c>
      <c r="G26" s="53">
        <f t="shared" si="1"/>
        <v>16055.549999999997</v>
      </c>
      <c r="H26" s="54">
        <f t="shared" si="1"/>
        <v>30714.864999999998</v>
      </c>
      <c r="I26" s="55"/>
      <c r="J26" s="53">
        <f t="shared" si="1"/>
        <v>2206.92</v>
      </c>
      <c r="K26" s="52">
        <f t="shared" si="1"/>
        <v>3635.6594948300003</v>
      </c>
      <c r="L26" s="52">
        <f t="shared" si="1"/>
        <v>12400.211564704</v>
      </c>
      <c r="M26" s="52">
        <f t="shared" si="1"/>
        <v>1569.4</v>
      </c>
      <c r="N26" s="54">
        <f t="shared" si="1"/>
        <v>20582.551699533997</v>
      </c>
      <c r="O26" s="306"/>
      <c r="P26" s="56">
        <f t="shared" si="1"/>
        <v>10132.313300466</v>
      </c>
      <c r="Q26" s="56">
        <f t="shared" si="1"/>
        <v>-489.96000000000004</v>
      </c>
      <c r="R26" s="57"/>
      <c r="S26" s="57"/>
    </row>
    <row r="27" spans="1:19" ht="13.5" thickBot="1">
      <c r="A27" s="467" t="s">
        <v>94</v>
      </c>
      <c r="B27" s="468"/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286"/>
      <c r="R27" s="190"/>
      <c r="S27" s="190"/>
    </row>
    <row r="28" spans="1:19" s="23" customFormat="1" ht="13.5" thickBot="1">
      <c r="A28" s="65" t="s">
        <v>52</v>
      </c>
      <c r="B28" s="66"/>
      <c r="C28" s="67">
        <f>'2012 полн'!C8</f>
        <v>1013745.4000000001</v>
      </c>
      <c r="D28" s="67">
        <f>'2012 полн'!D8</f>
        <v>117032.1570136</v>
      </c>
      <c r="E28" s="67">
        <f>'2012 полн'!U8</f>
        <v>742699.1300000001</v>
      </c>
      <c r="F28" s="67">
        <f>'2012 полн'!V8</f>
        <v>153770.52</v>
      </c>
      <c r="G28" s="67">
        <f>'2012 полн'!AF8</f>
        <v>685316.91</v>
      </c>
      <c r="H28" s="67">
        <f>'2012 полн'!AG8</f>
        <v>956119.5870135999</v>
      </c>
      <c r="I28" s="67">
        <f>'2012 полн'!AJ8</f>
        <v>0</v>
      </c>
      <c r="J28" s="67">
        <f>'2012 полн'!AK8</f>
        <v>69275.41919999999</v>
      </c>
      <c r="K28" s="67">
        <f>'2012 полн'!AL8</f>
        <v>23213.01691208</v>
      </c>
      <c r="L28" s="67">
        <f>'2012 полн'!AM8+'2012 полн'!AO8+'2012 полн'!AP8+'2012 полн'!AT8+'2012 полн'!AX8+'2012 полн'!AY8+'2012 полн'!BA8+'2012 полн'!BB8</f>
        <v>726786.0734907448</v>
      </c>
      <c r="M28" s="67">
        <f>'2012 полн'!AU8+'2012 полн'!AV8+'2012 полн'!AW8</f>
        <v>243582.0568</v>
      </c>
      <c r="N28" s="67">
        <f>'2012 полн'!BD8</f>
        <v>75</v>
      </c>
      <c r="O28" s="67">
        <f>SUM(J28:N28)</f>
        <v>1062931.5664028248</v>
      </c>
      <c r="P28" s="67">
        <f>H28+I28-O28</f>
        <v>-106811.9793892249</v>
      </c>
      <c r="Q28" s="67">
        <f>'2012 полн'!BG8</f>
        <v>-57382.22000000002</v>
      </c>
      <c r="R28" s="70"/>
      <c r="S28" s="57"/>
    </row>
    <row r="29" spans="1:19" ht="12.75">
      <c r="A29" s="8" t="s">
        <v>121</v>
      </c>
      <c r="B29" s="274"/>
      <c r="C29" s="58"/>
      <c r="D29" s="59"/>
      <c r="E29" s="275"/>
      <c r="F29" s="276"/>
      <c r="G29" s="277"/>
      <c r="H29" s="276"/>
      <c r="I29" s="303"/>
      <c r="J29" s="277"/>
      <c r="K29" s="278"/>
      <c r="L29" s="278"/>
      <c r="M29" s="279"/>
      <c r="N29" s="280"/>
      <c r="O29" s="280"/>
      <c r="P29" s="281"/>
      <c r="Q29" s="281"/>
      <c r="R29" s="190"/>
      <c r="S29" s="190"/>
    </row>
    <row r="30" spans="1:19" ht="12.75">
      <c r="A30" s="203" t="s">
        <v>43</v>
      </c>
      <c r="B30" s="282">
        <f>'2012 полн'!B10</f>
        <v>4340.74</v>
      </c>
      <c r="C30" s="44">
        <f>'2012 полн'!C10</f>
        <v>37113.327000000005</v>
      </c>
      <c r="D30" s="45">
        <f>'2012 полн'!D10</f>
        <v>165.036</v>
      </c>
      <c r="E30" s="278">
        <f>'2012 полн'!U10</f>
        <v>37814.59</v>
      </c>
      <c r="F30" s="280">
        <f>'[1]2011 полн'!V10</f>
        <v>0</v>
      </c>
      <c r="G30" s="283">
        <f>'2012 полн'!AF10</f>
        <v>29841.4</v>
      </c>
      <c r="H30" s="280">
        <f>'2012 полн'!AG10</f>
        <v>30006.436</v>
      </c>
      <c r="I30" s="304">
        <f>'2012 полн'!AJ10</f>
        <v>100</v>
      </c>
      <c r="J30" s="283">
        <f>'2012 полн'!AK10</f>
        <v>2908.2958</v>
      </c>
      <c r="K30" s="283">
        <f>'2012 полн'!AL10</f>
        <v>868.148</v>
      </c>
      <c r="L30" s="278">
        <f>'2012 полн'!AM10+'2012 полн'!AN10+'2012 полн'!AO10+'2012 полн'!AP10+'2012 полн'!AQ10+'2012 полн'!AR10+'2012 полн'!AS10+'2012 полн'!AT10</f>
        <v>30394.1134</v>
      </c>
      <c r="M30" s="279">
        <f>'2012 полн'!AU10+'2012 полн'!AV10+'2012 полн'!AW10+'2012 полн'!AX10</f>
        <v>14692.04</v>
      </c>
      <c r="N30" s="280">
        <f>'2012 полн'!BD10</f>
        <v>25</v>
      </c>
      <c r="O30" s="280">
        <f>'2012 полн'!BE10</f>
        <v>48887.597200000004</v>
      </c>
      <c r="P30" s="281">
        <f>H30+I30-O30</f>
        <v>-18781.161200000002</v>
      </c>
      <c r="Q30" s="281">
        <f>'2012 полн'!BG10</f>
        <v>-7973.189999999995</v>
      </c>
      <c r="R30" s="190"/>
      <c r="S30" s="190"/>
    </row>
    <row r="31" spans="1:19" ht="12.75">
      <c r="A31" s="203" t="s">
        <v>44</v>
      </c>
      <c r="B31" s="282">
        <f>'2012 полн'!B11</f>
        <v>4340.74</v>
      </c>
      <c r="C31" s="44">
        <f>'2012 полн'!C11</f>
        <v>37113.327000000005</v>
      </c>
      <c r="D31" s="45">
        <f>'2012 полн'!D11</f>
        <v>165.036</v>
      </c>
      <c r="E31" s="278">
        <f>'2012 полн'!U11</f>
        <v>37133.02</v>
      </c>
      <c r="F31" s="280">
        <f>'[1]2011 полн'!V11</f>
        <v>0</v>
      </c>
      <c r="G31" s="283">
        <f>'2012 полн'!AF11</f>
        <v>39344.06</v>
      </c>
      <c r="H31" s="280">
        <f>'2012 полн'!AG11</f>
        <v>39509.096</v>
      </c>
      <c r="I31" s="304">
        <f>'2012 полн'!AJ11</f>
        <v>100</v>
      </c>
      <c r="J31" s="283">
        <f>'2012 полн'!AK11</f>
        <v>2908.2958</v>
      </c>
      <c r="K31" s="283">
        <f>'2012 полн'!AL11</f>
        <v>868.148</v>
      </c>
      <c r="L31" s="278">
        <f>'2012 полн'!AM11+'2012 полн'!AN11+'2012 полн'!AO11+'2012 полн'!AP11+'2012 полн'!AQ11+'2012 полн'!AR11+'2012 полн'!AS11+'2012 полн'!AT11</f>
        <v>29994.5134</v>
      </c>
      <c r="M31" s="279">
        <f>'2012 полн'!AU11+'2012 полн'!AV11+'2012 полн'!AW11+'2012 полн'!AX11</f>
        <v>2599.56</v>
      </c>
      <c r="N31" s="280">
        <f>'2012 полн'!BD11</f>
        <v>25</v>
      </c>
      <c r="O31" s="280">
        <f>'2012 полн'!BE11</f>
        <v>36395.5172</v>
      </c>
      <c r="P31" s="281">
        <f aca="true" t="shared" si="2" ref="P31:P41">H31+I31-O31</f>
        <v>3213.5787999999957</v>
      </c>
      <c r="Q31" s="281">
        <f>'2012 полн'!BG11</f>
        <v>2211.040000000001</v>
      </c>
      <c r="R31" s="190"/>
      <c r="S31" s="190"/>
    </row>
    <row r="32" spans="1:19" ht="12.75">
      <c r="A32" s="203" t="s">
        <v>45</v>
      </c>
      <c r="B32" s="282">
        <f>'2012 полн'!B12</f>
        <v>4340.04</v>
      </c>
      <c r="C32" s="44">
        <f>'2012 полн'!C12</f>
        <v>37107.342000000004</v>
      </c>
      <c r="D32" s="45">
        <f>'2012 полн'!D12</f>
        <v>165.036</v>
      </c>
      <c r="E32" s="278">
        <f>'2012 полн'!U12</f>
        <v>37458.19</v>
      </c>
      <c r="F32" s="280">
        <f>'[1]2011 полн'!V12</f>
        <v>0</v>
      </c>
      <c r="G32" s="283">
        <f>'2012 полн'!AF12</f>
        <v>43547.11</v>
      </c>
      <c r="H32" s="280">
        <f>'2012 полн'!AG12</f>
        <v>43712.146</v>
      </c>
      <c r="I32" s="304">
        <f>'2012 полн'!AJ12</f>
        <v>100</v>
      </c>
      <c r="J32" s="283">
        <f>'2012 полн'!AK12</f>
        <v>2907.8268000000003</v>
      </c>
      <c r="K32" s="283">
        <f>'2012 полн'!AL12</f>
        <v>868.008</v>
      </c>
      <c r="L32" s="278">
        <f>'2012 полн'!AM12+'2012 полн'!AN12+'2012 полн'!AO12+'2012 полн'!AP12+'2012 полн'!AQ12+'2012 полн'!AR12+'2012 полн'!AS12+'2012 полн'!AT12</f>
        <v>30389.276399999995</v>
      </c>
      <c r="M32" s="279">
        <f>'2012 полн'!AU12+'2012 полн'!AV12+'2012 полн'!AW12+'2012 полн'!AX12</f>
        <v>2185</v>
      </c>
      <c r="N32" s="280">
        <f>'2012 полн'!BD12</f>
        <v>25</v>
      </c>
      <c r="O32" s="280">
        <f>'2012 полн'!BE12</f>
        <v>36375.1112</v>
      </c>
      <c r="P32" s="281">
        <f t="shared" si="2"/>
        <v>7437.034800000001</v>
      </c>
      <c r="Q32" s="281">
        <f>'2012 полн'!BG12</f>
        <v>6088.919999999998</v>
      </c>
      <c r="R32" s="190"/>
      <c r="S32" s="190"/>
    </row>
    <row r="33" spans="1:19" ht="12.75">
      <c r="A33" s="203" t="s">
        <v>46</v>
      </c>
      <c r="B33" s="282">
        <f>'2012 полн'!B13</f>
        <v>4340.04</v>
      </c>
      <c r="C33" s="44">
        <f>'2012 полн'!C13</f>
        <v>37107.342000000004</v>
      </c>
      <c r="D33" s="45">
        <f>'2012 полн'!D13</f>
        <v>165.036</v>
      </c>
      <c r="E33" s="278">
        <f>'2012 полн'!U13</f>
        <v>37444.590000000004</v>
      </c>
      <c r="F33" s="280">
        <f>'[1]2011 полн'!V13</f>
        <v>0</v>
      </c>
      <c r="G33" s="283">
        <f>'2012 полн'!AF13</f>
        <v>32903.69</v>
      </c>
      <c r="H33" s="280">
        <f>'2012 полн'!AG13</f>
        <v>33068.726</v>
      </c>
      <c r="I33" s="304">
        <f>'2012 полн'!AJ13</f>
        <v>100</v>
      </c>
      <c r="J33" s="283">
        <f>'2012 полн'!AK13</f>
        <v>2907.8268000000003</v>
      </c>
      <c r="K33" s="283">
        <f>'2012 полн'!AL13</f>
        <v>868.008</v>
      </c>
      <c r="L33" s="278">
        <f>'2012 полн'!AM13+'2012 полн'!AN13+'2012 полн'!AO13+'2012 полн'!AP13+'2012 полн'!AQ13+'2012 полн'!AR13+'2012 полн'!AS13+'2012 полн'!AT13</f>
        <v>25398.230399999997</v>
      </c>
      <c r="M33" s="279">
        <f>'2012 полн'!AU13+'2012 полн'!AV13+'2012 полн'!AW13+'2012 полн'!AX13</f>
        <v>117</v>
      </c>
      <c r="N33" s="280">
        <f>'2012 полн'!BD13</f>
        <v>25</v>
      </c>
      <c r="O33" s="280">
        <f>'2012 полн'!BE13</f>
        <v>29316.065199999997</v>
      </c>
      <c r="P33" s="281">
        <f t="shared" si="2"/>
        <v>3852.660800000005</v>
      </c>
      <c r="Q33" s="281">
        <f>'2012 полн'!BG13</f>
        <v>-4540.9000000000015</v>
      </c>
      <c r="R33" s="190"/>
      <c r="S33" s="190"/>
    </row>
    <row r="34" spans="1:19" ht="12.75">
      <c r="A34" s="203" t="s">
        <v>47</v>
      </c>
      <c r="B34" s="282">
        <f>'2012 полн'!B14</f>
        <v>4340.04</v>
      </c>
      <c r="C34" s="44">
        <f>'2012 полн'!C14</f>
        <v>37107.342000000004</v>
      </c>
      <c r="D34" s="45">
        <f>'2012 полн'!D14</f>
        <v>165.036</v>
      </c>
      <c r="E34" s="278">
        <f>'2012 полн'!U14</f>
        <v>37444.590000000004</v>
      </c>
      <c r="F34" s="280">
        <f>'[1]2011 полн'!V14</f>
        <v>0</v>
      </c>
      <c r="G34" s="283">
        <f>'2012 полн'!AF14</f>
        <v>37021.48</v>
      </c>
      <c r="H34" s="280">
        <f>'2012 полн'!AG14</f>
        <v>37186.516</v>
      </c>
      <c r="I34" s="304">
        <f>'2012 полн'!AJ14</f>
        <v>214</v>
      </c>
      <c r="J34" s="283">
        <f>'2012 полн'!AK14</f>
        <v>2907.8268000000003</v>
      </c>
      <c r="K34" s="283">
        <f>'2012 полн'!AL14</f>
        <v>868.008</v>
      </c>
      <c r="L34" s="278">
        <f>'2012 полн'!AM14+'2012 полн'!AN14+'2012 полн'!AO14+'2012 полн'!AP14+'2012 полн'!AQ14+'2012 полн'!AR14+'2012 полн'!AS14+'2012 полн'!AT14</f>
        <v>25398.230399999997</v>
      </c>
      <c r="M34" s="279">
        <f>'2012 полн'!AU14+'2012 полн'!AV14+'2012 полн'!AW14+'2012 полн'!AX14</f>
        <v>2264.83</v>
      </c>
      <c r="N34" s="280">
        <f>'2012 полн'!BD14</f>
        <v>53.5</v>
      </c>
      <c r="O34" s="280">
        <f>'2012 полн'!BE14</f>
        <v>31492.3952</v>
      </c>
      <c r="P34" s="281">
        <f t="shared" si="2"/>
        <v>5908.120800000004</v>
      </c>
      <c r="Q34" s="281">
        <f>'2012 полн'!BG14</f>
        <v>-423.1100000000006</v>
      </c>
      <c r="R34" s="190"/>
      <c r="S34" s="190"/>
    </row>
    <row r="35" spans="1:19" ht="12.75">
      <c r="A35" s="203" t="s">
        <v>48</v>
      </c>
      <c r="B35" s="282">
        <f>'2012 полн'!B15</f>
        <v>4340.04</v>
      </c>
      <c r="C35" s="44">
        <f>'2012 полн'!C15</f>
        <v>37107.342000000004</v>
      </c>
      <c r="D35" s="45">
        <f>'2012 полн'!D15</f>
        <v>165.036</v>
      </c>
      <c r="E35" s="278">
        <f>'2012 полн'!U15</f>
        <v>37414.29</v>
      </c>
      <c r="F35" s="280">
        <f>'[1]2011 полн'!V15</f>
        <v>0</v>
      </c>
      <c r="G35" s="283">
        <f>'2012 полн'!AF15</f>
        <v>42255.25</v>
      </c>
      <c r="H35" s="280">
        <f>'2012 полн'!AG15</f>
        <v>42420.286</v>
      </c>
      <c r="I35" s="304">
        <f>'2012 полн'!AJ15</f>
        <v>214</v>
      </c>
      <c r="J35" s="283">
        <f>'2012 полн'!AK15</f>
        <v>2907.8268000000003</v>
      </c>
      <c r="K35" s="283">
        <f>'2012 полн'!AL15</f>
        <v>868.008</v>
      </c>
      <c r="L35" s="278">
        <f>'2012 полн'!AM15+'2012 полн'!AN15+'2012 полн'!AO15+'2012 полн'!AP15+'2012 полн'!AQ15+'2012 полн'!AR15+'2012 полн'!AS15+'2012 полн'!AT15</f>
        <v>25398.230399999997</v>
      </c>
      <c r="M35" s="279">
        <f>'2012 полн'!AU15+'2012 полн'!AV15+'2012 полн'!AW15+'2012 полн'!AX15</f>
        <v>4327.416</v>
      </c>
      <c r="N35" s="280">
        <f>'2012 полн'!BD15</f>
        <v>53.5</v>
      </c>
      <c r="O35" s="280">
        <f>'2012 полн'!BE15</f>
        <v>33554.981199999995</v>
      </c>
      <c r="P35" s="281">
        <f t="shared" si="2"/>
        <v>9079.304800000005</v>
      </c>
      <c r="Q35" s="281">
        <f>'2012 полн'!BG15</f>
        <v>4840.959999999999</v>
      </c>
      <c r="R35" s="190"/>
      <c r="S35" s="190"/>
    </row>
    <row r="36" spans="1:17" ht="12.75">
      <c r="A36" s="203" t="s">
        <v>49</v>
      </c>
      <c r="B36" s="282">
        <f>'2012 полн'!B16</f>
        <v>4340.04</v>
      </c>
      <c r="C36" s="44">
        <f>'2012 полн'!C16</f>
        <v>37107.342000000004</v>
      </c>
      <c r="D36" s="45">
        <f>'2012 полн'!D16</f>
        <v>165.036</v>
      </c>
      <c r="E36" s="278">
        <f>'2012 полн'!U16</f>
        <v>37413.24</v>
      </c>
      <c r="F36" s="280">
        <f>'[1]2011 полн'!V16</f>
        <v>0</v>
      </c>
      <c r="G36" s="283">
        <f>'2012 полн'!AF16</f>
        <v>34055.380000000005</v>
      </c>
      <c r="H36" s="280">
        <f>'2012 полн'!AG16</f>
        <v>34220.416000000005</v>
      </c>
      <c r="I36" s="304">
        <f>'2012 полн'!AJ16</f>
        <v>214</v>
      </c>
      <c r="J36" s="283">
        <f>'2012 полн'!AK16</f>
        <v>2907.8268000000003</v>
      </c>
      <c r="K36" s="283">
        <f>'2012 полн'!AL16</f>
        <v>868.008</v>
      </c>
      <c r="L36" s="278">
        <f>'2012 полн'!AM16+'2012 полн'!AN16+'2012 полн'!AO16+'2012 полн'!AP16+'2012 полн'!AQ16+'2012 полн'!AR16+'2012 полн'!AS16+'2012 полн'!AT16</f>
        <v>25398.230399999997</v>
      </c>
      <c r="M36" s="279">
        <f>'2012 полн'!AU16+'2012 полн'!AV16+'2012 полн'!AW16+'2012 полн'!AX16</f>
        <v>2311.36</v>
      </c>
      <c r="N36" s="280">
        <f>'2012 полн'!BD16</f>
        <v>53.5</v>
      </c>
      <c r="O36" s="280">
        <f>'2012 полн'!BE16</f>
        <v>31538.925199999998</v>
      </c>
      <c r="P36" s="281">
        <f t="shared" si="2"/>
        <v>2895.490800000007</v>
      </c>
      <c r="Q36" s="281">
        <f>'2012 полн'!BG16</f>
        <v>-3357.8599999999933</v>
      </c>
    </row>
    <row r="37" spans="1:17" ht="12.75">
      <c r="A37" s="203" t="s">
        <v>50</v>
      </c>
      <c r="B37" s="282">
        <f>'2012 полн'!B17</f>
        <v>4340.04</v>
      </c>
      <c r="C37" s="44">
        <f>'2012 полн'!C17</f>
        <v>37107.342000000004</v>
      </c>
      <c r="D37" s="45">
        <f>'2012 полн'!D17</f>
        <v>165.036</v>
      </c>
      <c r="E37" s="278">
        <f>'2012 полн'!U17</f>
        <v>37419.6</v>
      </c>
      <c r="F37" s="280">
        <f>'[1]2011 полн'!V17</f>
        <v>0</v>
      </c>
      <c r="G37" s="283">
        <f>'2012 полн'!AF17</f>
        <v>34848.7</v>
      </c>
      <c r="H37" s="280">
        <f>'2012 полн'!AG17</f>
        <v>35013.736</v>
      </c>
      <c r="I37" s="304">
        <f>'2012 полн'!AJ17</f>
        <v>214</v>
      </c>
      <c r="J37" s="283">
        <f>'2012 полн'!AK17</f>
        <v>2907.8268000000003</v>
      </c>
      <c r="K37" s="283">
        <f>'2012 полн'!AL17</f>
        <v>868.008</v>
      </c>
      <c r="L37" s="278">
        <f>'2012 полн'!AM17+'2012 полн'!AN17+'2012 полн'!AO17+'2012 полн'!AP17+'2012 полн'!AQ17+'2012 полн'!AR17+'2012 полн'!AS17+'2012 полн'!AT17</f>
        <v>25398.230399999997</v>
      </c>
      <c r="M37" s="279">
        <f>'2012 полн'!AU17+'2012 полн'!AV17+'2012 полн'!AW17+'2012 полн'!AX17</f>
        <v>0</v>
      </c>
      <c r="N37" s="280">
        <f>'2012 полн'!BD17</f>
        <v>53.5</v>
      </c>
      <c r="O37" s="280">
        <f>'2012 полн'!BE17</f>
        <v>29227.565199999997</v>
      </c>
      <c r="P37" s="281">
        <f t="shared" si="2"/>
        <v>6000.1708</v>
      </c>
      <c r="Q37" s="281">
        <f>'2012 полн'!BG17</f>
        <v>-2570.9000000000015</v>
      </c>
    </row>
    <row r="38" spans="1:17" ht="12.75">
      <c r="A38" s="203" t="s">
        <v>51</v>
      </c>
      <c r="B38" s="282">
        <f>'2012 полн'!B18</f>
        <v>4340.04</v>
      </c>
      <c r="C38" s="44">
        <f>'2012 полн'!C18</f>
        <v>37107.342000000004</v>
      </c>
      <c r="D38" s="45">
        <f>'2012 полн'!D18</f>
        <v>118.116</v>
      </c>
      <c r="E38" s="278">
        <f>'2012 полн'!U18</f>
        <v>38010.29000000001</v>
      </c>
      <c r="F38" s="280">
        <f>'[1]2011 полн'!V18</f>
        <v>0</v>
      </c>
      <c r="G38" s="283">
        <f>'2012 полн'!AF18</f>
        <v>34367.799999999996</v>
      </c>
      <c r="H38" s="280">
        <f>'2012 полн'!AG18</f>
        <v>34485.916</v>
      </c>
      <c r="I38" s="304">
        <f>'2012 полн'!AJ18</f>
        <v>214</v>
      </c>
      <c r="J38" s="283">
        <f>'2012 полн'!AK18</f>
        <v>2907.8268000000003</v>
      </c>
      <c r="K38" s="283">
        <f>'2012 полн'!AL18</f>
        <v>868.008</v>
      </c>
      <c r="L38" s="278">
        <f>'2012 полн'!AM18+'2012 полн'!AN18+'2012 полн'!AO18+'2012 полн'!AP18+'2012 полн'!AQ18+'2012 полн'!AR18+'2012 полн'!AS18+'2012 полн'!AT18</f>
        <v>25398.230399999997</v>
      </c>
      <c r="M38" s="279">
        <f>'2012 полн'!AU18+'2012 полн'!AV18+'2012 полн'!AW18+'2012 полн'!AX18</f>
        <v>2933.34</v>
      </c>
      <c r="N38" s="280">
        <f>'2012 полн'!BD18</f>
        <v>53.5</v>
      </c>
      <c r="O38" s="280">
        <f>'2012 полн'!BE18</f>
        <v>32160.905199999997</v>
      </c>
      <c r="P38" s="281">
        <f t="shared" si="2"/>
        <v>2539.0108</v>
      </c>
      <c r="Q38" s="281">
        <f>'2012 полн'!BG18</f>
        <v>-3642.4900000000125</v>
      </c>
    </row>
    <row r="39" spans="1:17" ht="12.75">
      <c r="A39" s="203" t="s">
        <v>39</v>
      </c>
      <c r="B39" s="282">
        <f>'2012 полн'!B19</f>
        <v>4340.04</v>
      </c>
      <c r="C39" s="44">
        <f>'2012 полн'!C19</f>
        <v>37107.342000000004</v>
      </c>
      <c r="D39" s="45">
        <f>'2012 полн'!D19</f>
        <v>118.116</v>
      </c>
      <c r="E39" s="278">
        <f>'2012 полн'!U19</f>
        <v>38024.939999999995</v>
      </c>
      <c r="F39" s="280">
        <f>'[1]2011 полн'!V19</f>
        <v>0</v>
      </c>
      <c r="G39" s="283">
        <f>'2012 полн'!AF19</f>
        <v>32527.839999999997</v>
      </c>
      <c r="H39" s="280">
        <f>'2012 полн'!AG19</f>
        <v>32645.956</v>
      </c>
      <c r="I39" s="304">
        <f>'2012 полн'!AJ19</f>
        <v>214</v>
      </c>
      <c r="J39" s="283">
        <f>'2012 полн'!AK19</f>
        <v>2907.8268000000003</v>
      </c>
      <c r="K39" s="283">
        <f>'2012 полн'!AL19</f>
        <v>868.008</v>
      </c>
      <c r="L39" s="278">
        <f>'2012 полн'!AM19+'2012 полн'!AN19+'2012 полн'!AO19+'2012 полн'!AP19+'2012 полн'!AQ19+'2012 полн'!AR19+'2012 полн'!AS19+'2012 полн'!AT19</f>
        <v>30389.276399999995</v>
      </c>
      <c r="M39" s="279">
        <f>'2012 полн'!AU19+'2012 полн'!AV19+'2012 полн'!AW19+'2012 полн'!AX19</f>
        <v>3290</v>
      </c>
      <c r="N39" s="280">
        <f>'2012 полн'!BD19</f>
        <v>53.5</v>
      </c>
      <c r="O39" s="280">
        <f>'2012 полн'!BE19</f>
        <v>37508.6112</v>
      </c>
      <c r="P39" s="281">
        <f t="shared" si="2"/>
        <v>-4648.655200000001</v>
      </c>
      <c r="Q39" s="281">
        <f>'2012 полн'!BG19</f>
        <v>-5497.0999999999985</v>
      </c>
    </row>
    <row r="40" spans="1:17" ht="12.75">
      <c r="A40" s="203" t="s">
        <v>40</v>
      </c>
      <c r="B40" s="282">
        <f>'2012 полн'!B20</f>
        <v>4340.04</v>
      </c>
      <c r="C40" s="44">
        <f>'2012 полн'!C20</f>
        <v>37107.342000000004</v>
      </c>
      <c r="D40" s="45">
        <f>'2012 полн'!D20</f>
        <v>118.116</v>
      </c>
      <c r="E40" s="278">
        <f>'2012 полн'!U20</f>
        <v>38004.649999999994</v>
      </c>
      <c r="F40" s="280">
        <f>'[1]2011 полн'!V20</f>
        <v>0</v>
      </c>
      <c r="G40" s="283">
        <f>'2012 полн'!AF20</f>
        <v>35646.12</v>
      </c>
      <c r="H40" s="280">
        <f>'2012 полн'!AG20</f>
        <v>35764.236000000004</v>
      </c>
      <c r="I40" s="304">
        <f>'2012 полн'!AJ20</f>
        <v>214</v>
      </c>
      <c r="J40" s="283">
        <f>'2012 полн'!AK20</f>
        <v>2907.8268000000003</v>
      </c>
      <c r="K40" s="283">
        <f>'2012 полн'!AL20</f>
        <v>868.008</v>
      </c>
      <c r="L40" s="278">
        <f>'2012 полн'!AM20+'2012 полн'!AN20+'2012 полн'!AO20+'2012 полн'!AP20+'2012 полн'!AQ20+'2012 полн'!AR20+'2012 полн'!AS20+'2012 полн'!AT20</f>
        <v>30389.276399999995</v>
      </c>
      <c r="M40" s="279">
        <f>'2012 полн'!AU20+'2012 полн'!AV20+'2012 полн'!AW20+'2012 полн'!AX20</f>
        <v>615.56</v>
      </c>
      <c r="N40" s="280">
        <f>'2012 полн'!BD20</f>
        <v>53.5</v>
      </c>
      <c r="O40" s="280">
        <f>'2012 полн'!BE20</f>
        <v>34834.1712</v>
      </c>
      <c r="P40" s="281">
        <f t="shared" si="2"/>
        <v>1144.0648000000074</v>
      </c>
      <c r="Q40" s="281">
        <f>'2012 полн'!BG20</f>
        <v>-2358.5299999999916</v>
      </c>
    </row>
    <row r="41" spans="1:17" ht="13.5" thickBot="1">
      <c r="A41" s="203" t="s">
        <v>41</v>
      </c>
      <c r="B41" s="282">
        <f>'2012 полн'!B21</f>
        <v>4340.04</v>
      </c>
      <c r="C41" s="44">
        <f>'2012 полн'!C21</f>
        <v>37107.342000000004</v>
      </c>
      <c r="D41" s="45">
        <f>'2012 полн'!D21</f>
        <v>118.11600000000001</v>
      </c>
      <c r="E41" s="278">
        <f>'2012 полн'!U21</f>
        <v>37965.990000000005</v>
      </c>
      <c r="F41" s="280">
        <f>'[1]2011 полн'!V21</f>
        <v>0</v>
      </c>
      <c r="G41" s="283">
        <f>'2012 полн'!AF21</f>
        <v>41869.579999999994</v>
      </c>
      <c r="H41" s="280">
        <f>'2012 полн'!AG21</f>
        <v>41987.695999999996</v>
      </c>
      <c r="I41" s="304">
        <f>'2012 полн'!AJ21</f>
        <v>6851.42</v>
      </c>
      <c r="J41" s="283">
        <f>'2012 полн'!AK21</f>
        <v>2907.8268000000003</v>
      </c>
      <c r="K41" s="283">
        <f>'2012 полн'!AL21</f>
        <v>868.008</v>
      </c>
      <c r="L41" s="278">
        <f>'2012 полн'!AM21+'2012 полн'!AN21+'2012 полн'!AO21+'2012 полн'!AP21+'2012 полн'!AQ21+'2012 полн'!AR21+'2012 полн'!AS21+'2012 полн'!AT21</f>
        <v>30389.276399999995</v>
      </c>
      <c r="M41" s="279">
        <f>'2012 полн'!AU21+'2012 полн'!AV21+'2012 полн'!AW21+'2012 полн'!AX21</f>
        <v>4598</v>
      </c>
      <c r="N41" s="280">
        <f>'2012 полн'!BD21</f>
        <v>1712.855</v>
      </c>
      <c r="O41" s="280">
        <f>'2012 полн'!BE21</f>
        <v>40475.9662</v>
      </c>
      <c r="P41" s="281">
        <f t="shared" si="2"/>
        <v>8363.149799999992</v>
      </c>
      <c r="Q41" s="281">
        <f>'2012 полн'!BG21</f>
        <v>3903.5899999999892</v>
      </c>
    </row>
    <row r="42" spans="1:19" s="23" customFormat="1" ht="13.5" thickBot="1">
      <c r="A42" s="50" t="s">
        <v>3</v>
      </c>
      <c r="B42" s="51"/>
      <c r="C42" s="56">
        <f aca="true" t="shared" si="3" ref="C42:P42">SUM(C30:C41)</f>
        <v>445300.074</v>
      </c>
      <c r="D42" s="56">
        <f t="shared" si="3"/>
        <v>1792.7520000000002</v>
      </c>
      <c r="E42" s="56">
        <f t="shared" si="3"/>
        <v>451547.98</v>
      </c>
      <c r="F42" s="56">
        <f t="shared" si="3"/>
        <v>0</v>
      </c>
      <c r="G42" s="56">
        <f t="shared" si="3"/>
        <v>438228.41</v>
      </c>
      <c r="H42" s="56">
        <f t="shared" si="3"/>
        <v>440021.162</v>
      </c>
      <c r="I42" s="56">
        <f>'2012 полн'!AJ22</f>
        <v>8749.42</v>
      </c>
      <c r="J42" s="56">
        <f t="shared" si="3"/>
        <v>34894.859599999996</v>
      </c>
      <c r="K42" s="56">
        <f t="shared" si="3"/>
        <v>10416.375999999998</v>
      </c>
      <c r="L42" s="56">
        <f t="shared" si="3"/>
        <v>334335.1147999999</v>
      </c>
      <c r="M42" s="56">
        <f t="shared" si="3"/>
        <v>39934.106</v>
      </c>
      <c r="N42" s="56">
        <f t="shared" si="3"/>
        <v>2187.355</v>
      </c>
      <c r="O42" s="56">
        <f t="shared" si="3"/>
        <v>421767.8114</v>
      </c>
      <c r="P42" s="56">
        <f t="shared" si="3"/>
        <v>27002.770600000014</v>
      </c>
      <c r="Q42" s="56">
        <f>SUM(Q30:Q41)</f>
        <v>-13319.570000000007</v>
      </c>
      <c r="R42" s="57"/>
      <c r="S42" s="57"/>
    </row>
    <row r="43" spans="1:19" ht="13.5" thickBot="1">
      <c r="A43" s="467" t="s">
        <v>66</v>
      </c>
      <c r="B43" s="468"/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286"/>
      <c r="R43" s="190"/>
      <c r="S43" s="190"/>
    </row>
    <row r="44" spans="1:19" s="23" customFormat="1" ht="13.5" thickBot="1">
      <c r="A44" s="65" t="s">
        <v>52</v>
      </c>
      <c r="B44" s="66"/>
      <c r="C44" s="67">
        <f aca="true" t="shared" si="4" ref="C44:Q44">C42+C28</f>
        <v>1459045.4740000002</v>
      </c>
      <c r="D44" s="67">
        <f t="shared" si="4"/>
        <v>118824.90901359999</v>
      </c>
      <c r="E44" s="67">
        <f t="shared" si="4"/>
        <v>1194247.11</v>
      </c>
      <c r="F44" s="67">
        <f t="shared" si="4"/>
        <v>153770.52</v>
      </c>
      <c r="G44" s="67">
        <f t="shared" si="4"/>
        <v>1123545.32</v>
      </c>
      <c r="H44" s="67">
        <f t="shared" si="4"/>
        <v>1396140.7490136</v>
      </c>
      <c r="I44" s="67">
        <f>'2012 полн'!AJ24</f>
        <v>8749.42</v>
      </c>
      <c r="J44" s="67">
        <f t="shared" si="4"/>
        <v>104170.27879999999</v>
      </c>
      <c r="K44" s="67">
        <f t="shared" si="4"/>
        <v>33629.392912079995</v>
      </c>
      <c r="L44" s="67">
        <f t="shared" si="4"/>
        <v>1061121.1882907448</v>
      </c>
      <c r="M44" s="67">
        <f t="shared" si="4"/>
        <v>283516.1628</v>
      </c>
      <c r="N44" s="67">
        <f t="shared" si="4"/>
        <v>2262.355</v>
      </c>
      <c r="O44" s="67">
        <f>'2012 полн'!BC24</f>
        <v>1482437.022802825</v>
      </c>
      <c r="P44" s="67">
        <f t="shared" si="4"/>
        <v>-79809.20878922488</v>
      </c>
      <c r="Q44" s="67">
        <f t="shared" si="4"/>
        <v>-70701.79000000004</v>
      </c>
      <c r="R44" s="70"/>
      <c r="S44" s="57"/>
    </row>
    <row r="45" spans="1:19" ht="12.75">
      <c r="A45" s="8" t="s">
        <v>126</v>
      </c>
      <c r="B45" s="274"/>
      <c r="C45" s="58"/>
      <c r="D45" s="59"/>
      <c r="E45" s="275"/>
      <c r="F45" s="276"/>
      <c r="G45" s="277"/>
      <c r="H45" s="276"/>
      <c r="I45" s="303"/>
      <c r="J45" s="277"/>
      <c r="K45" s="278"/>
      <c r="L45" s="278"/>
      <c r="M45" s="279"/>
      <c r="N45" s="280"/>
      <c r="O45" s="280"/>
      <c r="P45" s="281"/>
      <c r="Q45" s="281"/>
      <c r="R45" s="190"/>
      <c r="S45" s="190"/>
    </row>
    <row r="46" spans="1:19" ht="12.75">
      <c r="A46" s="203" t="s">
        <v>43</v>
      </c>
      <c r="B46" s="282">
        <f>'2012 полн'!B26</f>
        <v>4340.04</v>
      </c>
      <c r="C46" s="44">
        <f>'2012 полн'!C26</f>
        <v>37107.342000000004</v>
      </c>
      <c r="D46" s="45">
        <f>'2012 полн'!D26</f>
        <v>118.11600000000001</v>
      </c>
      <c r="E46" s="278">
        <f>'2012 полн'!U26</f>
        <v>37949.689999999995</v>
      </c>
      <c r="F46" s="280">
        <f>'[1]2011 полн'!V26</f>
        <v>0</v>
      </c>
      <c r="G46" s="283">
        <f>'2012 полн'!AF26</f>
        <v>35927.44</v>
      </c>
      <c r="H46" s="280">
        <f>'2012 полн'!AG26</f>
        <v>36045.556000000004</v>
      </c>
      <c r="I46" s="304">
        <f>'2012 полн'!AJ26</f>
        <v>214</v>
      </c>
      <c r="J46" s="283">
        <f>'2012 полн'!AK26</f>
        <v>2907.8268000000003</v>
      </c>
      <c r="K46" s="283">
        <f>'2012 полн'!AL26</f>
        <v>868.008</v>
      </c>
      <c r="L46" s="278">
        <f>'2012 полн'!AM26+'2012 полн'!AN26+'2012 полн'!AO26+'2012 полн'!AP26+'2012 полн'!AQ26+'2012 полн'!AR26+'2012 полн'!AS26+'2012 полн'!AT26+'2012 полн'!AX26</f>
        <v>33070.276399999995</v>
      </c>
      <c r="M46" s="279">
        <f>'2012 полн'!AU26+'2012 полн'!AV26+'2012 полн'!AW26</f>
        <v>15810</v>
      </c>
      <c r="N46" s="280">
        <f>'2012 полн'!BD26</f>
        <v>53.5</v>
      </c>
      <c r="O46" s="280">
        <f>SUM(J46:N46)</f>
        <v>52709.6112</v>
      </c>
      <c r="P46" s="281">
        <f>H46+I46-O46</f>
        <v>-16450.055199999995</v>
      </c>
      <c r="Q46" s="281">
        <f>'2012 полн'!BG26</f>
        <v>-2022.2499999999927</v>
      </c>
      <c r="R46" s="190"/>
      <c r="S46" s="190"/>
    </row>
    <row r="47" spans="1:19" ht="12.75">
      <c r="A47" s="203" t="s">
        <v>44</v>
      </c>
      <c r="B47" s="282">
        <f>'2012 полн'!B27</f>
        <v>4340.04</v>
      </c>
      <c r="C47" s="44">
        <f>'2012 полн'!C27</f>
        <v>37107.342000000004</v>
      </c>
      <c r="D47" s="45">
        <f>'2012 полн'!D27</f>
        <v>118.11600000000001</v>
      </c>
      <c r="E47" s="278">
        <f>'2012 полн'!U27</f>
        <v>37946.740000000005</v>
      </c>
      <c r="F47" s="280">
        <f>'[1]2011 полн'!V27</f>
        <v>0</v>
      </c>
      <c r="G47" s="283">
        <f>'2012 полн'!AF27</f>
        <v>42009.05</v>
      </c>
      <c r="H47" s="280">
        <f>'2012 полн'!AG27</f>
        <v>42127.166000000005</v>
      </c>
      <c r="I47" s="304">
        <f>'2012 полн'!AJ27</f>
        <v>214</v>
      </c>
      <c r="J47" s="283">
        <f>'2012 полн'!AK27</f>
        <v>2907.8268000000003</v>
      </c>
      <c r="K47" s="283">
        <f>'2012 полн'!AL27</f>
        <v>868.008</v>
      </c>
      <c r="L47" s="278">
        <f>'2012 полн'!AM27+'2012 полн'!AN27+'2012 полн'!AO27+'2012 полн'!AP27+'2012 полн'!AQ27+'2012 полн'!AR27+'2012 полн'!AS27+'2012 полн'!AT27+'2012 полн'!AX27</f>
        <v>32525.276399999995</v>
      </c>
      <c r="M47" s="279">
        <f>'2012 полн'!AU27+'2012 полн'!AV27+'2012 полн'!AW27</f>
        <v>3735</v>
      </c>
      <c r="N47" s="280">
        <f>'2012 полн'!BD27</f>
        <v>53.5</v>
      </c>
      <c r="O47" s="280">
        <f aca="true" t="shared" si="5" ref="O47:O57">SUM(J47:N47)</f>
        <v>40089.6112</v>
      </c>
      <c r="P47" s="281">
        <f aca="true" t="shared" si="6" ref="P47:P57">H47+I47-O47</f>
        <v>2251.5548000000053</v>
      </c>
      <c r="Q47" s="281">
        <f>'2012 полн'!BG27</f>
        <v>4062.3099999999977</v>
      </c>
      <c r="R47" s="190"/>
      <c r="S47" s="190"/>
    </row>
    <row r="48" spans="1:19" ht="12.75">
      <c r="A48" s="203" t="s">
        <v>45</v>
      </c>
      <c r="B48" s="282">
        <f>'2012 полн'!B28</f>
        <v>4340.04</v>
      </c>
      <c r="C48" s="44">
        <f>'2012 полн'!C28</f>
        <v>37107.342000000004</v>
      </c>
      <c r="D48" s="45">
        <f>'2012 полн'!D28</f>
        <v>118.11600000000001</v>
      </c>
      <c r="E48" s="278">
        <f>'2012 полн'!U28</f>
        <v>37941.14</v>
      </c>
      <c r="F48" s="280">
        <f>'[1]2011 полн'!V28</f>
        <v>0</v>
      </c>
      <c r="G48" s="283">
        <f>'2012 полн'!AF28</f>
        <v>36292.87</v>
      </c>
      <c r="H48" s="280">
        <f>'2012 полн'!AG28</f>
        <v>36410.986000000004</v>
      </c>
      <c r="I48" s="304">
        <f>'2012 полн'!AJ28</f>
        <v>2914</v>
      </c>
      <c r="J48" s="283">
        <f>'2012 полн'!AK28</f>
        <v>2907.8268000000003</v>
      </c>
      <c r="K48" s="283">
        <f>'2012 полн'!AL28</f>
        <v>868.008</v>
      </c>
      <c r="L48" s="278">
        <f>'2012 полн'!AM28+'2012 полн'!AN28+'2012 полн'!AO28+'2012 полн'!AP28+'2012 полн'!AQ28+'2012 полн'!AR28+'2012 полн'!AS28+'2012 полн'!AT28+'2012 полн'!AX28</f>
        <v>32451.786399999997</v>
      </c>
      <c r="M48" s="279">
        <f>'2012 полн'!AU28+'2012 полн'!AV28+'2012 полн'!AW28</f>
        <v>1338.82</v>
      </c>
      <c r="N48" s="280">
        <f>'2012 полн'!BD28</f>
        <v>728.5</v>
      </c>
      <c r="O48" s="280">
        <f t="shared" si="5"/>
        <v>38294.941199999994</v>
      </c>
      <c r="P48" s="281">
        <f t="shared" si="6"/>
        <v>1030.0448000000106</v>
      </c>
      <c r="Q48" s="281">
        <f>'2012 полн'!BG28</f>
        <v>-1648.2699999999968</v>
      </c>
      <c r="R48" s="190"/>
      <c r="S48" s="190"/>
    </row>
    <row r="49" spans="1:19" ht="12.75">
      <c r="A49" s="203" t="s">
        <v>46</v>
      </c>
      <c r="B49" s="282">
        <f>'2012 полн'!B29</f>
        <v>4340.04</v>
      </c>
      <c r="C49" s="44">
        <f>'2012 полн'!C29</f>
        <v>37107.342000000004</v>
      </c>
      <c r="D49" s="45">
        <f>'2012 полн'!D29</f>
        <v>118.11600000000001</v>
      </c>
      <c r="E49" s="278">
        <f>'2012 полн'!U29</f>
        <v>37941.14</v>
      </c>
      <c r="F49" s="280">
        <f>'[1]2011 полн'!V29</f>
        <v>0</v>
      </c>
      <c r="G49" s="283">
        <f>'2012 полн'!AF29</f>
        <v>31538.48</v>
      </c>
      <c r="H49" s="280">
        <f>'2012 полн'!AG29</f>
        <v>31656.596</v>
      </c>
      <c r="I49" s="304">
        <f>'2012 полн'!AJ29</f>
        <v>214</v>
      </c>
      <c r="J49" s="283">
        <f>'2012 полн'!AK29</f>
        <v>2907.8268000000003</v>
      </c>
      <c r="K49" s="283">
        <f>'2012 полн'!AL29</f>
        <v>868.008</v>
      </c>
      <c r="L49" s="278">
        <f>'2012 полн'!AM29+'2012 полн'!AN29+'2012 полн'!AO29+'2012 полн'!AP29+'2012 полн'!AQ29+'2012 полн'!AR29+'2012 полн'!AS29+'2012 полн'!AT29+'2012 полн'!AX29</f>
        <v>25486.230399999997</v>
      </c>
      <c r="M49" s="279">
        <f>'2012 полн'!AU29+'2012 полн'!AV29+'2012 полн'!AW29</f>
        <v>0</v>
      </c>
      <c r="N49" s="280">
        <f>'2012 полн'!BD29</f>
        <v>53.5</v>
      </c>
      <c r="O49" s="280">
        <f t="shared" si="5"/>
        <v>29315.565199999997</v>
      </c>
      <c r="P49" s="281">
        <f t="shared" si="6"/>
        <v>2555.030800000004</v>
      </c>
      <c r="Q49" s="281">
        <f>'2012 полн'!BG29</f>
        <v>-6402.66</v>
      </c>
      <c r="R49" s="190"/>
      <c r="S49" s="190"/>
    </row>
    <row r="50" spans="1:19" ht="12.75">
      <c r="A50" s="203" t="s">
        <v>47</v>
      </c>
      <c r="B50" s="282">
        <f>'2012 полн'!B30</f>
        <v>4340.04</v>
      </c>
      <c r="C50" s="44">
        <f>'2012 полн'!C30</f>
        <v>37107.342000000004</v>
      </c>
      <c r="D50" s="45">
        <f>'2012 полн'!D30</f>
        <v>118.11600000000001</v>
      </c>
      <c r="E50" s="278">
        <f>'2012 полн'!U30</f>
        <v>37949.689999999995</v>
      </c>
      <c r="F50" s="280">
        <f>'[1]2011 полн'!V30</f>
        <v>0</v>
      </c>
      <c r="G50" s="283">
        <f>'2012 полн'!AF30</f>
        <v>40184.229999999996</v>
      </c>
      <c r="H50" s="280">
        <f>'2012 полн'!AG30</f>
        <v>40302.346</v>
      </c>
      <c r="I50" s="304">
        <f>'2012 полн'!AJ30</f>
        <v>108492.715</v>
      </c>
      <c r="J50" s="283">
        <f>'2012 полн'!AK30</f>
        <v>2907.8268000000003</v>
      </c>
      <c r="K50" s="283">
        <f>'2012 полн'!AL30</f>
        <v>868.008</v>
      </c>
      <c r="L50" s="278">
        <f>'2012 полн'!AM30+'2012 полн'!AN30+'2012 полн'!AO30+'2012 полн'!AP30+'2012 полн'!AQ30+'2012 полн'!AR30+'2012 полн'!AS30+'2012 полн'!AT30+'2012 полн'!AX30</f>
        <v>29321.100399999996</v>
      </c>
      <c r="M50" s="279">
        <f>'2012 полн'!AU30+'2012 полн'!AV30+'2012 полн'!AW30</f>
        <v>2653</v>
      </c>
      <c r="N50" s="280">
        <f>'2012 полн'!BD30</f>
        <v>823.4</v>
      </c>
      <c r="O50" s="280">
        <f t="shared" si="5"/>
        <v>36573.335199999994</v>
      </c>
      <c r="P50" s="281">
        <f t="shared" si="6"/>
        <v>112221.72579999999</v>
      </c>
      <c r="Q50" s="281">
        <f>'2012 полн'!BG30</f>
        <v>2234.540000000001</v>
      </c>
      <c r="R50" s="190"/>
      <c r="S50" s="190"/>
    </row>
    <row r="51" spans="1:19" ht="12.75">
      <c r="A51" s="203" t="s">
        <v>48</v>
      </c>
      <c r="B51" s="282">
        <f>'2012 полн'!B31</f>
        <v>4340.04</v>
      </c>
      <c r="C51" s="44">
        <f>'2012 полн'!C31</f>
        <v>37107.342000000004</v>
      </c>
      <c r="D51" s="45">
        <f>'2012 полн'!D31</f>
        <v>118.11600000000001</v>
      </c>
      <c r="E51" s="278">
        <f>'2012 полн'!U31</f>
        <v>37968.78</v>
      </c>
      <c r="F51" s="280">
        <f>'[1]2011 полн'!V31</f>
        <v>0</v>
      </c>
      <c r="G51" s="283">
        <f>'2012 полн'!AF31</f>
        <v>41309.22</v>
      </c>
      <c r="H51" s="280">
        <f>'2012 полн'!AG31</f>
        <v>41427.336</v>
      </c>
      <c r="I51" s="304">
        <f>'2012 полн'!AJ31</f>
        <v>4156.249</v>
      </c>
      <c r="J51" s="283">
        <f>'2012 полн'!AK31</f>
        <v>2907.8268000000003</v>
      </c>
      <c r="K51" s="283">
        <f>'2012 полн'!AL31</f>
        <v>868.008</v>
      </c>
      <c r="L51" s="278">
        <f>'2012 полн'!AM31+'2012 полн'!AN31+'2012 полн'!AO31+'2012 полн'!AP31+'2012 полн'!AQ31+'2012 полн'!AR31+'2012 полн'!AS31+'2012 полн'!AT31+'2012 полн'!AX31</f>
        <v>26185.230399999997</v>
      </c>
      <c r="M51" s="279">
        <f>'2012 полн'!AU31+'2012 полн'!AV31+'2012 полн'!AW31</f>
        <v>4066</v>
      </c>
      <c r="N51" s="280">
        <f>'2012 полн'!BD31</f>
        <v>2162.711</v>
      </c>
      <c r="O51" s="280">
        <f t="shared" si="5"/>
        <v>36189.7762</v>
      </c>
      <c r="P51" s="281">
        <f t="shared" si="6"/>
        <v>9393.808800000006</v>
      </c>
      <c r="Q51" s="281">
        <f>'2012 полн'!BG31</f>
        <v>3340.4400000000023</v>
      </c>
      <c r="R51" s="190"/>
      <c r="S51" s="190"/>
    </row>
    <row r="52" spans="1:17" ht="12.75">
      <c r="A52" s="203" t="s">
        <v>49</v>
      </c>
      <c r="B52" s="282">
        <f>'2012 полн'!B32</f>
        <v>4340.04</v>
      </c>
      <c r="C52" s="44">
        <f>'2012 полн'!C32</f>
        <v>41273.780399999996</v>
      </c>
      <c r="D52" s="45">
        <f>'2012 полн'!D32</f>
        <v>158.06700000000004</v>
      </c>
      <c r="E52" s="278">
        <f>'2012 полн'!U32</f>
        <v>42258.59</v>
      </c>
      <c r="F52" s="280">
        <f>'[1]2011 полн'!V32</f>
        <v>0</v>
      </c>
      <c r="G52" s="283">
        <f>'2012 полн'!AF32</f>
        <v>27589.1</v>
      </c>
      <c r="H52" s="280">
        <f>'2012 полн'!AG32</f>
        <v>27747.166999999998</v>
      </c>
      <c r="I52" s="304">
        <f>'2012 полн'!AJ32</f>
        <v>134069.613</v>
      </c>
      <c r="J52" s="283">
        <f>'2012 полн'!AK32</f>
        <v>3255.0299999999997</v>
      </c>
      <c r="K52" s="283">
        <f>'2012 полн'!AL32</f>
        <v>868.008</v>
      </c>
      <c r="L52" s="278">
        <f>'2012 полн'!AM32+'2012 полн'!AN32+'2012 полн'!AO32+'2012 полн'!AP32+'2012 полн'!AQ32+'2012 полн'!AR32+'2012 полн'!AS32+'2012 полн'!AT32+'2012 полн'!AX32</f>
        <v>28374.550399999996</v>
      </c>
      <c r="M52" s="279">
        <f>'2012 полн'!AU32+'2012 полн'!AV32+'2012 полн'!AW32</f>
        <v>984</v>
      </c>
      <c r="N52" s="280">
        <f>'2012 полн'!BD32</f>
        <v>5458.581</v>
      </c>
      <c r="O52" s="280">
        <f t="shared" si="5"/>
        <v>38940.16939999999</v>
      </c>
      <c r="P52" s="281">
        <f t="shared" si="6"/>
        <v>122876.61060000001</v>
      </c>
      <c r="Q52" s="281">
        <f>'2012 полн'!BG32</f>
        <v>-14669.489999999998</v>
      </c>
    </row>
    <row r="53" spans="1:17" ht="12.75">
      <c r="A53" s="203" t="s">
        <v>50</v>
      </c>
      <c r="B53" s="282">
        <f>'2012 полн'!B33</f>
        <v>4340.04</v>
      </c>
      <c r="C53" s="44">
        <f>'2012 полн'!C33</f>
        <v>41273.780399999996</v>
      </c>
      <c r="D53" s="45">
        <f>'2012 полн'!D33</f>
        <v>0</v>
      </c>
      <c r="E53" s="278">
        <f>'2012 полн'!U33</f>
        <v>42304.73</v>
      </c>
      <c r="F53" s="280">
        <f>'[1]2011 полн'!V33</f>
        <v>0</v>
      </c>
      <c r="G53" s="283">
        <f>'2012 полн'!AF33</f>
        <v>46181.560000000005</v>
      </c>
      <c r="H53" s="280">
        <f>'2012 полн'!AG33</f>
        <v>46181.560000000005</v>
      </c>
      <c r="I53" s="304">
        <f>'2012 полн'!AJ33</f>
        <v>7090.465</v>
      </c>
      <c r="J53" s="283">
        <f>'2012 полн'!AK33</f>
        <v>3255.0299999999997</v>
      </c>
      <c r="K53" s="283">
        <f>'2012 полн'!AL33</f>
        <v>868.008</v>
      </c>
      <c r="L53" s="278">
        <f>'2012 полн'!AM33+'2012 полн'!AN33+'2012 полн'!AO33+'2012 полн'!AP33+'2012 полн'!AQ33+'2012 полн'!AR33+'2012 полн'!AS33+'2012 полн'!AT33+'2012 полн'!AX33</f>
        <v>25912.110399999998</v>
      </c>
      <c r="M53" s="279">
        <f>'2012 полн'!AU33+'2012 полн'!AV33+'2012 полн'!AW33</f>
        <v>1046</v>
      </c>
      <c r="N53" s="280">
        <f>'2012 полн'!BD33</f>
        <v>5346.081</v>
      </c>
      <c r="O53" s="280">
        <f t="shared" si="5"/>
        <v>36427.2294</v>
      </c>
      <c r="P53" s="281">
        <f t="shared" si="6"/>
        <v>16844.795600000012</v>
      </c>
      <c r="Q53" s="281">
        <f>'2012 полн'!BG33</f>
        <v>3876.8300000000017</v>
      </c>
    </row>
    <row r="54" spans="1:17" ht="12.75">
      <c r="A54" s="203" t="s">
        <v>51</v>
      </c>
      <c r="B54" s="282">
        <f>'2012 полн'!B34</f>
        <v>4340.04</v>
      </c>
      <c r="C54" s="44">
        <f>'2012 полн'!C34</f>
        <v>41273.780399999996</v>
      </c>
      <c r="D54" s="45">
        <f>'2012 полн'!D34</f>
        <v>0</v>
      </c>
      <c r="E54" s="278">
        <f>'2012 полн'!U34</f>
        <v>42327.22</v>
      </c>
      <c r="F54" s="280">
        <f>'[1]2011 полн'!V34</f>
        <v>0</v>
      </c>
      <c r="G54" s="283">
        <f>'2012 полн'!AF34</f>
        <v>39348.549999999996</v>
      </c>
      <c r="H54" s="280">
        <f>'2012 полн'!AG34</f>
        <v>39348.549999999996</v>
      </c>
      <c r="I54" s="304">
        <f>'2012 полн'!AJ34</f>
        <v>76106.35299999999</v>
      </c>
      <c r="J54" s="283">
        <f>'2012 полн'!AK34</f>
        <v>3255.0299999999997</v>
      </c>
      <c r="K54" s="283">
        <f>'2012 полн'!AL34</f>
        <v>868.008</v>
      </c>
      <c r="L54" s="278">
        <f>'2012 полн'!AM34+'2012 полн'!AN34+'2012 полн'!AO34+'2012 полн'!AP34+'2012 полн'!AQ34+'2012 полн'!AR34+'2012 полн'!AS34+'2012 полн'!AT34+'2012 полн'!AX34</f>
        <v>25556.230399999997</v>
      </c>
      <c r="M54" s="279">
        <f>'2012 полн'!AU34+'2012 полн'!AV34+'2012 полн'!AW34</f>
        <v>2048</v>
      </c>
      <c r="N54" s="280">
        <f>'2012 полн'!BD34</f>
        <v>6727.167</v>
      </c>
      <c r="O54" s="280">
        <f t="shared" si="5"/>
        <v>38454.435399999995</v>
      </c>
      <c r="P54" s="281">
        <f t="shared" si="6"/>
        <v>77000.4676</v>
      </c>
      <c r="Q54" s="281">
        <f>'2012 полн'!BG34</f>
        <v>-2978.6700000000055</v>
      </c>
    </row>
    <row r="55" spans="1:17" ht="12.75">
      <c r="A55" s="203" t="s">
        <v>39</v>
      </c>
      <c r="B55" s="282">
        <f>'2012 полн'!B35</f>
        <v>4340.04</v>
      </c>
      <c r="C55" s="44">
        <f>'2012 полн'!C35</f>
        <v>41273.780399999996</v>
      </c>
      <c r="D55" s="45">
        <f>'2012 полн'!D35</f>
        <v>0</v>
      </c>
      <c r="E55" s="278">
        <f>'2012 полн'!U35</f>
        <v>42428.98</v>
      </c>
      <c r="F55" s="280">
        <f>'[1]2011 полн'!V35</f>
        <v>0</v>
      </c>
      <c r="G55" s="283">
        <f>'2012 полн'!AF35</f>
        <v>40676.03</v>
      </c>
      <c r="H55" s="280">
        <f>'2012 полн'!AG35</f>
        <v>40676.03</v>
      </c>
      <c r="I55" s="304">
        <f>'2012 полн'!AJ35</f>
        <v>9007.573</v>
      </c>
      <c r="J55" s="283">
        <f>'2012 полн'!AK35</f>
        <v>3255.0299999999997</v>
      </c>
      <c r="K55" s="283">
        <f>'2012 полн'!AL35</f>
        <v>868.008</v>
      </c>
      <c r="L55" s="278">
        <f>'2012 полн'!AM35+'2012 полн'!AN35+'2012 полн'!AO35+'2012 полн'!AP35+'2012 полн'!AQ35+'2012 полн'!AR35+'2012 полн'!AS35+'2012 полн'!AT35+'2012 полн'!AX35</f>
        <v>55894.57639999999</v>
      </c>
      <c r="M55" s="279">
        <f>'2012 полн'!AU35+'2012 полн'!AV35+'2012 полн'!AW35</f>
        <v>8049.5</v>
      </c>
      <c r="N55" s="280">
        <f>'2012 полн'!BD35</f>
        <v>6727.167</v>
      </c>
      <c r="O55" s="280">
        <f t="shared" si="5"/>
        <v>74794.28139999999</v>
      </c>
      <c r="P55" s="281">
        <f t="shared" si="6"/>
        <v>-25110.67839999999</v>
      </c>
      <c r="Q55" s="281">
        <f>'2012 полн'!BG35</f>
        <v>-1752.9500000000044</v>
      </c>
    </row>
    <row r="56" spans="1:17" ht="12.75">
      <c r="A56" s="203" t="s">
        <v>40</v>
      </c>
      <c r="B56" s="282">
        <f>'2012 полн'!B36</f>
        <v>4340.04</v>
      </c>
      <c r="C56" s="44">
        <f>'2012 полн'!C36</f>
        <v>41273.780399999996</v>
      </c>
      <c r="D56" s="45">
        <f>'2012 полн'!D36</f>
        <v>0</v>
      </c>
      <c r="E56" s="278">
        <f>'2012 полн'!U36</f>
        <v>42401.74</v>
      </c>
      <c r="F56" s="280">
        <f>'[1]2011 полн'!V36</f>
        <v>0</v>
      </c>
      <c r="G56" s="283">
        <f>'2012 полн'!AF36</f>
        <v>47015.03999999999</v>
      </c>
      <c r="H56" s="280">
        <f>'2012 полн'!AG36</f>
        <v>47015.03999999999</v>
      </c>
      <c r="I56" s="304">
        <f>'2012 полн'!AJ36</f>
        <v>9007.573</v>
      </c>
      <c r="J56" s="283">
        <f>'2012 полн'!AK36</f>
        <v>3255.0299999999997</v>
      </c>
      <c r="K56" s="283">
        <f>'2012 полн'!AL36</f>
        <v>868.008</v>
      </c>
      <c r="L56" s="278">
        <f>'2012 полн'!AM36+'2012 полн'!AN36+'2012 полн'!AO36+'2012 полн'!AP36+'2012 полн'!AQ36+'2012 полн'!AR36+'2012 полн'!AS36+'2012 полн'!AT36+'2012 полн'!AX36</f>
        <v>39998.276399999995</v>
      </c>
      <c r="M56" s="279">
        <f>'2012 полн'!AU36+'2012 полн'!AV36+'2012 полн'!AW36</f>
        <v>5390</v>
      </c>
      <c r="N56" s="280">
        <f>'2012 полн'!BD36</f>
        <v>6727.167</v>
      </c>
      <c r="O56" s="280">
        <f t="shared" si="5"/>
        <v>56238.4814</v>
      </c>
      <c r="P56" s="281">
        <f t="shared" si="6"/>
        <v>-215.86839999999938</v>
      </c>
      <c r="Q56" s="281">
        <f>'2012 полн'!BG36</f>
        <v>4613.299999999996</v>
      </c>
    </row>
    <row r="57" spans="1:17" ht="13.5" thickBot="1">
      <c r="A57" s="203" t="s">
        <v>41</v>
      </c>
      <c r="B57" s="282">
        <f>'2012 полн'!B37</f>
        <v>4340.04</v>
      </c>
      <c r="C57" s="44">
        <f>'2012 полн'!C37</f>
        <v>41273.780399999996</v>
      </c>
      <c r="D57" s="45">
        <f>'2012 полн'!D37</f>
        <v>0</v>
      </c>
      <c r="E57" s="278">
        <f>'2012 полн'!U37</f>
        <v>42294.01</v>
      </c>
      <c r="F57" s="280">
        <f>'[1]2011 полн'!V37</f>
        <v>0</v>
      </c>
      <c r="G57" s="283">
        <f>'2012 полн'!AF37</f>
        <v>46798.340000000004</v>
      </c>
      <c r="H57" s="280">
        <f>'2012 полн'!AG37</f>
        <v>46798.340000000004</v>
      </c>
      <c r="I57" s="304">
        <f>'2012 полн'!AJ37</f>
        <v>9007.573</v>
      </c>
      <c r="J57" s="283">
        <f>'2012 полн'!AK37</f>
        <v>3255.0299999999997</v>
      </c>
      <c r="K57" s="283">
        <f>'2012 полн'!AL37</f>
        <v>868.008</v>
      </c>
      <c r="L57" s="278">
        <f>'2012 полн'!AM37+'2012 полн'!AN37+'2012 полн'!AO37+'2012 полн'!AP37+'2012 полн'!AQ37+'2012 полн'!AR37+'2012 полн'!AS37+'2012 полн'!AT37+'2012 полн'!AX37</f>
        <v>32883.97639999999</v>
      </c>
      <c r="M57" s="279">
        <f>'2012 полн'!AU37+'2012 полн'!AV37+'2012 полн'!AW37</f>
        <v>1852</v>
      </c>
      <c r="N57" s="280">
        <f>'2012 полн'!BD37</f>
        <v>6727.167</v>
      </c>
      <c r="O57" s="280">
        <f t="shared" si="5"/>
        <v>45586.181399999994</v>
      </c>
      <c r="P57" s="281">
        <f t="shared" si="6"/>
        <v>10219.731600000006</v>
      </c>
      <c r="Q57" s="281">
        <f>'2012 полн'!BG37</f>
        <v>4504.330000000002</v>
      </c>
    </row>
    <row r="58" spans="1:19" s="23" customFormat="1" ht="13.5" thickBot="1">
      <c r="A58" s="50" t="s">
        <v>3</v>
      </c>
      <c r="B58" s="51"/>
      <c r="C58" s="56">
        <f>SUM(C46:C57)</f>
        <v>470286.73439999996</v>
      </c>
      <c r="D58" s="56">
        <f>SUM(D46:D57)</f>
        <v>866.763</v>
      </c>
      <c r="E58" s="56">
        <f>SUM(E46:E57)</f>
        <v>481712.44999999995</v>
      </c>
      <c r="F58" s="56">
        <f>SUM(F46:F57)</f>
        <v>0</v>
      </c>
      <c r="G58" s="56">
        <f>SUM(G46:G57)</f>
        <v>474869.91000000003</v>
      </c>
      <c r="H58" s="56">
        <f>SUM(H46:H57)</f>
        <v>475736.67299999995</v>
      </c>
      <c r="I58" s="56">
        <f>'2012 полн'!AJ38</f>
        <v>360494.1139999999</v>
      </c>
      <c r="J58" s="56">
        <f aca="true" t="shared" si="7" ref="J58:W58">SUM(J46:J57)</f>
        <v>36977.140799999994</v>
      </c>
      <c r="K58" s="56">
        <f t="shared" si="7"/>
        <v>10416.096</v>
      </c>
      <c r="L58" s="56">
        <f t="shared" si="7"/>
        <v>387659.6208</v>
      </c>
      <c r="M58" s="56">
        <f t="shared" si="7"/>
        <v>46972.32</v>
      </c>
      <c r="N58" s="56">
        <f t="shared" si="7"/>
        <v>41588.441</v>
      </c>
      <c r="O58" s="56">
        <f t="shared" si="7"/>
        <v>523613.6186</v>
      </c>
      <c r="P58" s="56">
        <f t="shared" si="7"/>
        <v>312617.1684000001</v>
      </c>
      <c r="Q58" s="56">
        <f>SUM(Q46:Q57)</f>
        <v>-6842.539999999997</v>
      </c>
      <c r="R58" s="57"/>
      <c r="S58" s="57"/>
    </row>
    <row r="59" spans="1:19" ht="13.5" thickBot="1">
      <c r="A59" s="467" t="s">
        <v>66</v>
      </c>
      <c r="B59" s="468"/>
      <c r="C59" s="468"/>
      <c r="D59" s="468"/>
      <c r="E59" s="468"/>
      <c r="F59" s="468"/>
      <c r="G59" s="468"/>
      <c r="H59" s="468"/>
      <c r="I59" s="468"/>
      <c r="J59" s="468"/>
      <c r="K59" s="468"/>
      <c r="L59" s="468"/>
      <c r="M59" s="468"/>
      <c r="N59" s="468"/>
      <c r="O59" s="468"/>
      <c r="P59" s="468"/>
      <c r="Q59" s="286"/>
      <c r="R59" s="190"/>
      <c r="S59" s="190"/>
    </row>
    <row r="60" spans="1:19" s="23" customFormat="1" ht="13.5" thickBot="1">
      <c r="A60" s="65" t="s">
        <v>52</v>
      </c>
      <c r="B60" s="66"/>
      <c r="C60" s="67">
        <f>C58+C44</f>
        <v>1929332.2084000001</v>
      </c>
      <c r="D60" s="67">
        <f>D58+D44</f>
        <v>119691.6720136</v>
      </c>
      <c r="E60" s="67">
        <f>E58+E44</f>
        <v>1675959.56</v>
      </c>
      <c r="F60" s="67">
        <f>F58+F44</f>
        <v>153770.52</v>
      </c>
      <c r="G60" s="67">
        <f>G58+G44</f>
        <v>1598415.23</v>
      </c>
      <c r="H60" s="67">
        <f>H58+H44</f>
        <v>1871877.4220136</v>
      </c>
      <c r="I60" s="67">
        <f>'2012 полн'!AJ40</f>
        <v>369243.53399999987</v>
      </c>
      <c r="J60" s="67">
        <f>J58+J44</f>
        <v>141147.41959999996</v>
      </c>
      <c r="K60" s="67">
        <f>K58+K44</f>
        <v>44045.48891207999</v>
      </c>
      <c r="L60" s="67">
        <f>L58+L44</f>
        <v>1448780.8090907447</v>
      </c>
      <c r="M60" s="67">
        <f>M58+M44</f>
        <v>330488.4828</v>
      </c>
      <c r="N60" s="67">
        <f>N58+N44</f>
        <v>43850.796</v>
      </c>
      <c r="O60" s="67">
        <f>'2012 полн'!BC40</f>
        <v>1964462.2004028251</v>
      </c>
      <c r="P60" s="67">
        <f>P58+P44</f>
        <v>232807.9596107752</v>
      </c>
      <c r="Q60" s="67">
        <f>Q58+Q44</f>
        <v>-77544.33000000003</v>
      </c>
      <c r="R60" s="70"/>
      <c r="S60" s="57"/>
    </row>
    <row r="61" ht="9.75" customHeight="1"/>
    <row r="62" spans="1:19" ht="12.75">
      <c r="A62" s="23" t="s">
        <v>67</v>
      </c>
      <c r="D62" s="287" t="s">
        <v>129</v>
      </c>
      <c r="R62" s="190"/>
      <c r="S62" s="190"/>
    </row>
    <row r="63" spans="1:19" ht="12.75">
      <c r="A63" s="200" t="s">
        <v>68</v>
      </c>
      <c r="B63" s="200" t="s">
        <v>69</v>
      </c>
      <c r="C63" s="288" t="s">
        <v>70</v>
      </c>
      <c r="D63" s="289"/>
      <c r="R63" s="190"/>
      <c r="S63" s="190"/>
    </row>
    <row r="64" spans="1:19" ht="12.75">
      <c r="A64" s="290">
        <v>503877.02</v>
      </c>
      <c r="B64" s="291">
        <v>106441</v>
      </c>
      <c r="C64" s="207">
        <f>A64-B64</f>
        <v>397436.02</v>
      </c>
      <c r="D64" s="292"/>
      <c r="R64" s="190"/>
      <c r="S64" s="190"/>
    </row>
    <row r="65" spans="1:19" ht="9.75" customHeight="1">
      <c r="A65" s="71"/>
      <c r="R65" s="190"/>
      <c r="S65" s="190"/>
    </row>
    <row r="66" spans="1:19" ht="12.75">
      <c r="A66" s="191" t="s">
        <v>71</v>
      </c>
      <c r="G66" s="191" t="s">
        <v>72</v>
      </c>
      <c r="R66" s="190"/>
      <c r="S66" s="190"/>
    </row>
    <row r="67" ht="12.75">
      <c r="A67" s="190"/>
    </row>
    <row r="68" ht="12.75">
      <c r="A68" s="287" t="s">
        <v>125</v>
      </c>
    </row>
    <row r="69" ht="12.75">
      <c r="A69" s="191" t="s">
        <v>73</v>
      </c>
    </row>
  </sheetData>
  <sheetProtection/>
  <mergeCells count="27">
    <mergeCell ref="A59:P59"/>
    <mergeCell ref="A27:P27"/>
    <mergeCell ref="A43:P43"/>
    <mergeCell ref="I8:I11"/>
    <mergeCell ref="J8:O9"/>
    <mergeCell ref="O10:O11"/>
    <mergeCell ref="P8:P11"/>
    <mergeCell ref="A8:A11"/>
    <mergeCell ref="B8:B11"/>
    <mergeCell ref="C8:C11"/>
    <mergeCell ref="D8:D11"/>
    <mergeCell ref="Q8:Q11"/>
    <mergeCell ref="E10:F10"/>
    <mergeCell ref="H10:H11"/>
    <mergeCell ref="J10:J11"/>
    <mergeCell ref="K10:K11"/>
    <mergeCell ref="L10:L11"/>
    <mergeCell ref="M10:M11"/>
    <mergeCell ref="N10:N11"/>
    <mergeCell ref="E8:F9"/>
    <mergeCell ref="G8:H9"/>
    <mergeCell ref="B1:H1"/>
    <mergeCell ref="B2:H2"/>
    <mergeCell ref="A5:P5"/>
    <mergeCell ref="A6:G6"/>
    <mergeCell ref="A7:D7"/>
    <mergeCell ref="E7:F7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Мадемуазель</cp:lastModifiedBy>
  <cp:lastPrinted>2012-05-03T04:22:30Z</cp:lastPrinted>
  <dcterms:created xsi:type="dcterms:W3CDTF">2010-04-03T04:08:20Z</dcterms:created>
  <dcterms:modified xsi:type="dcterms:W3CDTF">2013-04-22T06:29:00Z</dcterms:modified>
  <cp:category/>
  <cp:version/>
  <cp:contentType/>
  <cp:contentStatus/>
</cp:coreProperties>
</file>