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3"/>
  </bookViews>
  <sheets>
    <sheet name="Лист1" sheetId="1" r:id="rId1"/>
    <sheet name="Лист2" sheetId="2" r:id="rId2"/>
    <sheet name="2012 полн" sheetId="3" r:id="rId3"/>
    <sheet name="2012 печать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<sst xmlns="http://schemas.openxmlformats.org/spreadsheetml/2006/main" count="333" uniqueCount="130">
  <si>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</si>
  <si>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</si>
  <si>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</si>
  <si>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</si>
  <si>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</si>
  <si>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</si>
  <si>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</si>
  <si>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</si>
  <si>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</si>
  <si>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</si>
  <si>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</si>
  <si>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</si>
  <si>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</si>
  <si>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</si>
  <si>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</si>
  <si>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</si>
  <si>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</si>
  <si>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</si>
  <si>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</si>
  <si>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</si>
  <si>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</si>
  <si>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</si>
  <si>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</si>
  <si>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</si>
  <si>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</si>
  <si>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</si>
  <si>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</si>
  <si>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</si>
  <si>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</si>
  <si>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</si>
  <si>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</si>
  <si>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</si>
  <si>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</si>
  <si>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</si>
  <si>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</si>
  <si>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</si>
  <si>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</si>
  <si>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</si>
  <si>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</si>
  <si>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</si>
  <si>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</si>
  <si>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</si>
  <si>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</si>
  <si>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</si>
  <si>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</si>
  <si>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</si>
  <si>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</si>
  <si>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</si>
  <si>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</si>
  <si>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</si>
  <si>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</si>
  <si>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</si>
  <si>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</si>
  <si>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</si>
  <si>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</si>
  <si>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за период с октября 2008 г. по декабрь 2009 г.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</si>
  <si>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</si>
  <si>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</si>
  <si>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</si>
  <si>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</si>
  <si>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</si>
  <si>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</si>
  <si>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</si>
  <si>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</si>
  <si>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</si>
  <si>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</si>
  <si>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</si>
  <si>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</si>
  <si>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</si>
  <si>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</si>
  <si>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</si>
  <si>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</si>
  <si>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</si>
  <si>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</si>
  <si>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</si>
  <si>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</si>
  <si>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</si>
  <si>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</si>
  <si>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</si>
  <si>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</si>
  <si>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</si>
  <si>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</si>
  <si>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</si>
  <si>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</si>
  <si>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</si>
  <si>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</si>
  <si>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</si>
  <si>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</si>
  <si>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Доп. работы по содержанию ТУК</t>
  </si>
  <si>
    <t xml:space="preserve">Долг(-)/ переплата(+)  жителей </t>
  </si>
  <si>
    <t>Выписка по лицевому счету по адресу г. Таштагол, ул. Ленина, д. 32</t>
  </si>
  <si>
    <t>Лицевой счет по адресу г. Таштагол, ул. Ленина, д. 32</t>
  </si>
  <si>
    <t>Социальный найм</t>
  </si>
  <si>
    <t>2010 год</t>
  </si>
  <si>
    <t>*по состоянию на 01.01.2011 г.</t>
  </si>
  <si>
    <t>Исп. Ю.С. Дмитриева</t>
  </si>
  <si>
    <t>на начало отчетного периода</t>
  </si>
  <si>
    <t>Лицевой счет по адресу г. Таштагол, ул. 18 партсъезд, д.19</t>
  </si>
  <si>
    <t>№ п/п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</si>
  <si>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</si>
  <si>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</si>
  <si>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</si>
  <si>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</si>
  <si>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</si>
  <si>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</si>
  <si>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</si>
  <si>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</si>
  <si>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</si>
  <si>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</si>
  <si>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</si>
  <si>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</si>
  <si>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</si>
  <si>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тепло-водо снабжения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</si>
  <si>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</si>
  <si>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</si>
  <si>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</si>
  <si>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</si>
  <si>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</si>
  <si>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Электроэнергия</t>
  </si>
  <si>
    <t>2011 год</t>
  </si>
  <si>
    <t>на 01.01.2012 г.</t>
  </si>
  <si>
    <t>Дотация и целевое финансирование</t>
  </si>
  <si>
    <t>Собрано квартплаты от населения</t>
  </si>
  <si>
    <t>Услуга начисления</t>
  </si>
  <si>
    <t>Собрано по содержанию и тек.рем.</t>
  </si>
  <si>
    <t>Исп. В.В. Колмогорова</t>
  </si>
  <si>
    <t>Тариф по содержанию и тек.ремонту 100 % (14,05руб.*площадь)</t>
  </si>
  <si>
    <t>Выписка по лицевому счету по адресу г. Таштагол ул. Ленина, д.32</t>
  </si>
  <si>
    <t>2012 год</t>
  </si>
  <si>
    <t>*по состоянию на 01.04.2013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</si>
</sst>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horizontal="left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33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33" xfId="0" applyNumberFormat="1" applyFont="1" applyFill="1" applyBorder="1" applyAlignment="1">
      <alignment wrapText="1"/>
    </xf>
    <xf numFmtId="4" fontId="0" fillId="0" borderId="34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wrapText="1"/>
    </xf>
    <xf numFmtId="4" fontId="7" fillId="0" borderId="22" xfId="33" applyNumberFormat="1" applyFont="1" applyFill="1" applyBorder="1" applyAlignment="1">
      <alignment horizontal="right" vertical="center" wrapText="1"/>
      <protection/>
    </xf>
    <xf numFmtId="4" fontId="7" fillId="0" borderId="23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>
      <alignment horizontal="right" wrapText="1"/>
    </xf>
    <xf numFmtId="4" fontId="2" fillId="0" borderId="11" xfId="53" applyNumberFormat="1" applyFont="1" applyFill="1" applyBorder="1" applyAlignment="1">
      <alignment horizontal="right"/>
      <protection/>
    </xf>
    <xf numFmtId="4" fontId="7" fillId="0" borderId="32" xfId="33" applyNumberFormat="1" applyFont="1" applyFill="1" applyBorder="1" applyAlignment="1">
      <alignment horizontal="right" vertical="center" wrapText="1"/>
      <protection/>
    </xf>
    <xf numFmtId="4" fontId="7" fillId="0" borderId="31" xfId="33" applyNumberFormat="1" applyFont="1" applyFill="1" applyBorder="1" applyAlignment="1">
      <alignment horizontal="right" vertical="center" wrapText="1"/>
      <protection/>
    </xf>
    <xf numFmtId="4" fontId="0" fillId="0" borderId="3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 horizontal="right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4" fontId="7" fillId="33" borderId="22" xfId="33" applyNumberFormat="1" applyFont="1" applyFill="1" applyBorder="1" applyAlignment="1">
      <alignment horizontal="right" vertical="center" wrapText="1"/>
      <protection/>
    </xf>
    <xf numFmtId="4" fontId="1" fillId="33" borderId="22" xfId="0" applyNumberFormat="1" applyFont="1" applyFill="1" applyBorder="1" applyAlignment="1">
      <alignment horizontal="right" wrapText="1"/>
    </xf>
    <xf numFmtId="4" fontId="1" fillId="33" borderId="23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" fillId="33" borderId="23" xfId="0" applyNumberFormat="1" applyFont="1" applyFill="1" applyBorder="1" applyAlignment="1">
      <alignment horizontal="right" wrapText="1"/>
    </xf>
    <xf numFmtId="4" fontId="1" fillId="33" borderId="22" xfId="0" applyNumberFormat="1" applyFont="1" applyFill="1" applyBorder="1" applyAlignment="1">
      <alignment horizontal="right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0" fillId="34" borderId="17" xfId="0" applyNumberFormat="1" applyFont="1" applyFill="1" applyBorder="1" applyAlignment="1">
      <alignment horizontal="right"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1" fillId="33" borderId="35" xfId="0" applyNumberFormat="1" applyFont="1" applyFill="1" applyBorder="1" applyAlignment="1">
      <alignment horizontal="right"/>
    </xf>
    <xf numFmtId="4" fontId="1" fillId="33" borderId="19" xfId="0" applyNumberFormat="1" applyFont="1" applyFill="1" applyBorder="1" applyAlignment="1">
      <alignment horizontal="right"/>
    </xf>
    <xf numFmtId="0" fontId="1" fillId="0" borderId="36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4" fontId="0" fillId="0" borderId="39" xfId="0" applyNumberFormat="1" applyFont="1" applyFill="1" applyBorder="1" applyAlignment="1">
      <alignment horizontal="right"/>
    </xf>
    <xf numFmtId="4" fontId="7" fillId="0" borderId="36" xfId="33" applyNumberFormat="1" applyFont="1" applyFill="1" applyBorder="1" applyAlignment="1">
      <alignment horizontal="right" vertical="center" wrapText="1"/>
      <protection/>
    </xf>
    <xf numFmtId="4" fontId="0" fillId="0" borderId="38" xfId="0" applyNumberFormat="1" applyFont="1" applyFill="1" applyBorder="1" applyAlignment="1">
      <alignment horizontal="right"/>
    </xf>
    <xf numFmtId="4" fontId="1" fillId="0" borderId="36" xfId="0" applyNumberFormat="1" applyFont="1" applyFill="1" applyBorder="1" applyAlignment="1">
      <alignment horizontal="right" wrapText="1"/>
    </xf>
    <xf numFmtId="4" fontId="0" fillId="0" borderId="40" xfId="0" applyNumberFormat="1" applyFont="1" applyFill="1" applyBorder="1" applyAlignment="1">
      <alignment/>
    </xf>
    <xf numFmtId="4" fontId="1" fillId="0" borderId="36" xfId="0" applyNumberFormat="1" applyFont="1" applyFill="1" applyBorder="1" applyAlignment="1">
      <alignment horizontal="right"/>
    </xf>
    <xf numFmtId="4" fontId="7" fillId="0" borderId="25" xfId="33" applyNumberFormat="1" applyFont="1" applyFill="1" applyBorder="1" applyAlignment="1">
      <alignment horizontal="right" vertical="center" wrapText="1"/>
      <protection/>
    </xf>
    <xf numFmtId="0" fontId="1" fillId="0" borderId="25" xfId="0" applyFont="1" applyFill="1" applyBorder="1" applyAlignment="1">
      <alignment/>
    </xf>
    <xf numFmtId="0" fontId="1" fillId="0" borderId="41" xfId="0" applyFont="1" applyFill="1" applyBorder="1" applyAlignment="1">
      <alignment horizontal="center" textRotation="90"/>
    </xf>
    <xf numFmtId="4" fontId="0" fillId="0" borderId="41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1" fillId="33" borderId="39" xfId="0" applyNumberFormat="1" applyFont="1" applyFill="1" applyBorder="1" applyAlignment="1">
      <alignment horizontal="right"/>
    </xf>
    <xf numFmtId="4" fontId="1" fillId="33" borderId="40" xfId="0" applyNumberFormat="1" applyFont="1" applyFill="1" applyBorder="1" applyAlignment="1">
      <alignment horizontal="right"/>
    </xf>
    <xf numFmtId="4" fontId="7" fillId="33" borderId="23" xfId="33" applyNumberFormat="1" applyFont="1" applyFill="1" applyBorder="1" applyAlignment="1">
      <alignment horizontal="right" vertical="center" wrapText="1"/>
      <protection/>
    </xf>
    <xf numFmtId="4" fontId="1" fillId="33" borderId="38" xfId="0" applyNumberFormat="1" applyFont="1" applyFill="1" applyBorder="1" applyAlignment="1">
      <alignment horizontal="right"/>
    </xf>
    <xf numFmtId="0" fontId="1" fillId="33" borderId="36" xfId="0" applyFont="1" applyFill="1" applyBorder="1" applyAlignment="1">
      <alignment/>
    </xf>
    <xf numFmtId="4" fontId="2" fillId="0" borderId="28" xfId="33" applyNumberFormat="1" applyFont="1" applyFill="1" applyBorder="1" applyAlignment="1">
      <alignment horizontal="right" vertical="center" wrapText="1"/>
      <protection/>
    </xf>
    <xf numFmtId="4" fontId="2" fillId="0" borderId="26" xfId="33" applyNumberFormat="1" applyFont="1" applyFill="1" applyBorder="1" applyAlignment="1">
      <alignment horizontal="right" vertical="center" wrapText="1"/>
      <protection/>
    </xf>
    <xf numFmtId="4" fontId="2" fillId="0" borderId="15" xfId="33" applyNumberFormat="1" applyFont="1" applyFill="1" applyBorder="1" applyAlignment="1">
      <alignment horizontal="right" vertical="center" wrapText="1"/>
      <protection/>
    </xf>
    <xf numFmtId="4" fontId="2" fillId="0" borderId="42" xfId="33" applyNumberFormat="1" applyFont="1" applyFill="1" applyBorder="1" applyAlignment="1">
      <alignment horizontal="right" vertical="center" wrapText="1"/>
      <protection/>
    </xf>
    <xf numFmtId="4" fontId="2" fillId="0" borderId="14" xfId="33" applyNumberFormat="1" applyFont="1" applyFill="1" applyBorder="1" applyAlignment="1">
      <alignment horizontal="right" vertical="center" wrapText="1"/>
      <protection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right" wrapText="1"/>
    </xf>
    <xf numFmtId="4" fontId="2" fillId="34" borderId="13" xfId="33" applyNumberFormat="1" applyFont="1" applyFill="1" applyBorder="1" applyAlignment="1">
      <alignment horizontal="right" vertical="center" wrapText="1"/>
      <protection/>
    </xf>
    <xf numFmtId="0" fontId="0" fillId="0" borderId="11" xfId="0" applyFont="1" applyFill="1" applyBorder="1" applyAlignment="1">
      <alignment horizontal="right"/>
    </xf>
    <xf numFmtId="4" fontId="0" fillId="35" borderId="15" xfId="0" applyNumberFormat="1" applyFont="1" applyFill="1" applyBorder="1" applyAlignment="1">
      <alignment horizontal="right"/>
    </xf>
    <xf numFmtId="4" fontId="0" fillId="34" borderId="29" xfId="0" applyNumberFormat="1" applyFont="1" applyFill="1" applyBorder="1" applyAlignment="1">
      <alignment horizontal="right"/>
    </xf>
    <xf numFmtId="4" fontId="0" fillId="34" borderId="28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4" fontId="0" fillId="36" borderId="35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left"/>
    </xf>
    <xf numFmtId="4" fontId="0" fillId="34" borderId="35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2" fillId="0" borderId="13" xfId="33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26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/>
    </xf>
    <xf numFmtId="4" fontId="0" fillId="0" borderId="15" xfId="0" applyNumberFormat="1" applyFont="1" applyBorder="1" applyAlignment="1">
      <alignment horizontal="right" wrapText="1"/>
    </xf>
    <xf numFmtId="4" fontId="0" fillId="0" borderId="15" xfId="0" applyNumberFormat="1" applyFont="1" applyFill="1" applyBorder="1" applyAlignment="1">
      <alignment horizontal="right"/>
    </xf>
    <xf numFmtId="4" fontId="0" fillId="37" borderId="11" xfId="0" applyNumberFormat="1" applyFont="1" applyFill="1" applyBorder="1" applyAlignment="1">
      <alignment horizontal="right"/>
    </xf>
    <xf numFmtId="4" fontId="0" fillId="38" borderId="35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center" vertical="center" wrapText="1"/>
    </xf>
    <xf numFmtId="4" fontId="0" fillId="38" borderId="11" xfId="0" applyNumberFormat="1" applyFont="1" applyFill="1" applyBorder="1" applyAlignment="1">
      <alignment horizontal="right"/>
    </xf>
    <xf numFmtId="4" fontId="0" fillId="33" borderId="1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 wrapText="1"/>
    </xf>
    <xf numFmtId="4" fontId="0" fillId="0" borderId="46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right"/>
    </xf>
    <xf numFmtId="4" fontId="2" fillId="0" borderId="47" xfId="33" applyNumberFormat="1" applyFont="1" applyFill="1" applyBorder="1" applyAlignment="1">
      <alignment horizontal="right" vertical="center" wrapText="1"/>
      <protection/>
    </xf>
    <xf numFmtId="4" fontId="2" fillId="34" borderId="17" xfId="33" applyNumberFormat="1" applyFont="1" applyFill="1" applyBorder="1" applyAlignment="1">
      <alignment horizontal="right" vertical="center" wrapText="1"/>
      <protection/>
    </xf>
    <xf numFmtId="0" fontId="0" fillId="0" borderId="17" xfId="0" applyFont="1" applyFill="1" applyBorder="1" applyAlignment="1">
      <alignment horizontal="right"/>
    </xf>
    <xf numFmtId="4" fontId="0" fillId="35" borderId="37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34" borderId="46" xfId="0" applyNumberFormat="1" applyFont="1" applyFill="1" applyBorder="1" applyAlignment="1">
      <alignment horizontal="right"/>
    </xf>
    <xf numFmtId="4" fontId="0" fillId="37" borderId="17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165" fontId="0" fillId="0" borderId="17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 horizontal="right"/>
    </xf>
    <xf numFmtId="4" fontId="0" fillId="38" borderId="17" xfId="0" applyNumberFormat="1" applyFont="1" applyFill="1" applyBorder="1" applyAlignment="1">
      <alignment horizontal="right"/>
    </xf>
    <xf numFmtId="4" fontId="0" fillId="36" borderId="46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4" fontId="2" fillId="34" borderId="11" xfId="33" applyNumberFormat="1" applyFont="1" applyFill="1" applyBorder="1" applyAlignment="1">
      <alignment horizontal="right" vertical="center" wrapText="1"/>
      <protection/>
    </xf>
    <xf numFmtId="0" fontId="0" fillId="0" borderId="17" xfId="0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wrapText="1"/>
    </xf>
    <xf numFmtId="0" fontId="1" fillId="0" borderId="44" xfId="0" applyFont="1" applyFill="1" applyBorder="1" applyAlignment="1">
      <alignment/>
    </xf>
    <xf numFmtId="4" fontId="0" fillId="37" borderId="13" xfId="0" applyNumberFormat="1" applyFont="1" applyFill="1" applyBorder="1" applyAlignment="1">
      <alignment horizontal="right"/>
    </xf>
    <xf numFmtId="4" fontId="0" fillId="37" borderId="13" xfId="0" applyNumberFormat="1" applyFont="1" applyFill="1" applyBorder="1" applyAlignment="1">
      <alignment horizontal="right" vertical="center" wrapText="1"/>
    </xf>
    <xf numFmtId="4" fontId="1" fillId="37" borderId="11" xfId="0" applyNumberFormat="1" applyFont="1" applyFill="1" applyBorder="1" applyAlignment="1">
      <alignment wrapText="1"/>
    </xf>
    <xf numFmtId="4" fontId="1" fillId="37" borderId="11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right"/>
    </xf>
    <xf numFmtId="4" fontId="1" fillId="37" borderId="17" xfId="0" applyNumberFormat="1" applyFont="1" applyFill="1" applyBorder="1" applyAlignment="1">
      <alignment horizontal="right"/>
    </xf>
    <xf numFmtId="0" fontId="0" fillId="37" borderId="13" xfId="0" applyFont="1" applyFill="1" applyBorder="1" applyAlignment="1">
      <alignment/>
    </xf>
    <xf numFmtId="0" fontId="1" fillId="37" borderId="20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textRotation="90" wrapText="1"/>
    </xf>
    <xf numFmtId="4" fontId="2" fillId="0" borderId="29" xfId="33" applyNumberFormat="1" applyFont="1" applyFill="1" applyBorder="1" applyAlignment="1">
      <alignment horizontal="right" vertical="center" wrapText="1"/>
      <protection/>
    </xf>
    <xf numFmtId="4" fontId="2" fillId="0" borderId="48" xfId="33" applyNumberFormat="1" applyFont="1" applyFill="1" applyBorder="1" applyAlignment="1">
      <alignment horizontal="right" vertical="center" wrapText="1"/>
      <protection/>
    </xf>
    <xf numFmtId="4" fontId="2" fillId="0" borderId="27" xfId="33" applyNumberFormat="1" applyFont="1" applyFill="1" applyBorder="1" applyAlignment="1">
      <alignment horizontal="right" vertical="center" wrapText="1"/>
      <protection/>
    </xf>
    <xf numFmtId="4" fontId="0" fillId="36" borderId="11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4" fontId="0" fillId="39" borderId="11" xfId="0" applyNumberFormat="1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4" fontId="0" fillId="36" borderId="17" xfId="0" applyNumberFormat="1" applyFont="1" applyFill="1" applyBorder="1" applyAlignment="1">
      <alignment horizontal="right"/>
    </xf>
    <xf numFmtId="4" fontId="0" fillId="35" borderId="14" xfId="0" applyNumberFormat="1" applyFont="1" applyFill="1" applyBorder="1" applyAlignment="1">
      <alignment horizontal="right"/>
    </xf>
    <xf numFmtId="4" fontId="0" fillId="34" borderId="19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4" fontId="0" fillId="36" borderId="19" xfId="0" applyNumberFormat="1" applyFont="1" applyFill="1" applyBorder="1" applyAlignment="1">
      <alignment horizontal="right"/>
    </xf>
    <xf numFmtId="4" fontId="0" fillId="38" borderId="14" xfId="0" applyNumberFormat="1" applyFon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36" borderId="10" xfId="0" applyNumberFormat="1" applyFont="1" applyFill="1" applyBorder="1" applyAlignment="1">
      <alignment horizontal="right"/>
    </xf>
    <xf numFmtId="4" fontId="0" fillId="36" borderId="49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 wrapText="1"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28" xfId="33" applyNumberFormat="1" applyFont="1" applyFill="1" applyBorder="1" applyAlignment="1">
      <alignment horizontal="center" vertical="center" wrapText="1"/>
      <protection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34" borderId="35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4" fontId="0" fillId="38" borderId="35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28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" fontId="0" fillId="33" borderId="33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2" fillId="40" borderId="11" xfId="3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1" fillId="33" borderId="50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right"/>
    </xf>
    <xf numFmtId="4" fontId="1" fillId="0" borderId="51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35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52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2" fillId="34" borderId="35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1" fillId="0" borderId="53" xfId="0" applyNumberFormat="1" applyFont="1" applyFill="1" applyBorder="1" applyAlignment="1">
      <alignment horizontal="right"/>
    </xf>
    <xf numFmtId="4" fontId="0" fillId="0" borderId="54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37" borderId="28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4" fontId="0" fillId="0" borderId="55" xfId="0" applyNumberFormat="1" applyFont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38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56" xfId="0" applyNumberFormat="1" applyFont="1" applyFill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4" fontId="0" fillId="35" borderId="29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35" borderId="29" xfId="0" applyFont="1" applyFill="1" applyBorder="1" applyAlignment="1">
      <alignment horizontal="center"/>
    </xf>
    <xf numFmtId="0" fontId="2" fillId="0" borderId="28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27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11" fillId="0" borderId="35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2" fontId="12" fillId="34" borderId="13" xfId="0" applyNumberFormat="1" applyFont="1" applyFill="1" applyBorder="1" applyAlignment="1">
      <alignment horizontal="center"/>
    </xf>
    <xf numFmtId="0" fontId="13" fillId="0" borderId="28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27" xfId="0" applyFont="1" applyBorder="1" applyAlignment="1">
      <alignment wrapText="1"/>
    </xf>
    <xf numFmtId="4" fontId="12" fillId="0" borderId="11" xfId="0" applyNumberFormat="1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4" fontId="13" fillId="0" borderId="28" xfId="33" applyNumberFormat="1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12" fillId="0" borderId="13" xfId="0" applyNumberFormat="1" applyFont="1" applyFill="1" applyBorder="1" applyAlignment="1">
      <alignment/>
    </xf>
    <xf numFmtId="4" fontId="2" fillId="34" borderId="39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35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57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1" fillId="0" borderId="30" xfId="0" applyFont="1" applyFill="1" applyBorder="1" applyAlignment="1">
      <alignment horizontal="right"/>
    </xf>
    <xf numFmtId="0" fontId="1" fillId="0" borderId="58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4" fontId="1" fillId="0" borderId="58" xfId="0" applyNumberFormat="1" applyFont="1" applyFill="1" applyBorder="1" applyAlignment="1">
      <alignment/>
    </xf>
    <xf numFmtId="4" fontId="1" fillId="0" borderId="59" xfId="0" applyNumberFormat="1" applyFont="1" applyFill="1" applyBorder="1" applyAlignment="1">
      <alignment/>
    </xf>
    <xf numFmtId="4" fontId="1" fillId="0" borderId="6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2" fontId="1" fillId="0" borderId="53" xfId="0" applyNumberFormat="1" applyFont="1" applyFill="1" applyBorder="1" applyAlignment="1">
      <alignment vertical="center" wrapText="1"/>
    </xf>
    <xf numFmtId="0" fontId="1" fillId="0" borderId="33" xfId="0" applyFont="1" applyFill="1" applyBorder="1" applyAlignment="1">
      <alignment horizontal="center" textRotation="90" wrapText="1"/>
    </xf>
    <xf numFmtId="0" fontId="1" fillId="0" borderId="42" xfId="0" applyFont="1" applyFill="1" applyBorder="1" applyAlignment="1">
      <alignment horizontal="center" textRotation="90"/>
    </xf>
    <xf numFmtId="0" fontId="0" fillId="0" borderId="25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4" fontId="2" fillId="0" borderId="35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48" xfId="0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1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12" fillId="38" borderId="11" xfId="0" applyFont="1" applyFill="1" applyBorder="1" applyAlignment="1">
      <alignment/>
    </xf>
    <xf numFmtId="4" fontId="12" fillId="0" borderId="15" xfId="0" applyNumberFormat="1" applyFont="1" applyFill="1" applyBorder="1" applyAlignment="1">
      <alignment horizontal="center" wrapText="1"/>
    </xf>
    <xf numFmtId="0" fontId="13" fillId="35" borderId="29" xfId="0" applyFont="1" applyFill="1" applyBorder="1" applyAlignment="1">
      <alignment/>
    </xf>
    <xf numFmtId="4" fontId="12" fillId="34" borderId="11" xfId="0" applyNumberFormat="1" applyFont="1" applyFill="1" applyBorder="1" applyAlignment="1">
      <alignment horizontal="center"/>
    </xf>
    <xf numFmtId="0" fontId="12" fillId="38" borderId="11" xfId="0" applyFont="1" applyFill="1" applyBorder="1" applyAlignment="1">
      <alignment horizontal="center"/>
    </xf>
    <xf numFmtId="0" fontId="13" fillId="0" borderId="35" xfId="0" applyFont="1" applyBorder="1" applyAlignment="1">
      <alignment wrapText="1"/>
    </xf>
    <xf numFmtId="0" fontId="13" fillId="0" borderId="55" xfId="0" applyFont="1" applyBorder="1" applyAlignment="1">
      <alignment wrapText="1"/>
    </xf>
    <xf numFmtId="0" fontId="13" fillId="35" borderId="15" xfId="0" applyFont="1" applyFill="1" applyBorder="1" applyAlignment="1">
      <alignment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61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37" borderId="50" xfId="0" applyNumberFormat="1" applyFont="1" applyFill="1" applyBorder="1" applyAlignment="1">
      <alignment horizontal="center" vertical="center" wrapText="1"/>
    </xf>
    <xf numFmtId="2" fontId="1" fillId="37" borderId="43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0" fontId="1" fillId="35" borderId="50" xfId="0" applyFont="1" applyFill="1" applyBorder="1" applyAlignment="1">
      <alignment horizontal="center" textRotation="90"/>
    </xf>
    <xf numFmtId="0" fontId="1" fillId="35" borderId="45" xfId="0" applyFont="1" applyFill="1" applyBorder="1" applyAlignment="1">
      <alignment horizontal="center" textRotation="90"/>
    </xf>
    <xf numFmtId="0" fontId="1" fillId="0" borderId="64" xfId="0" applyFont="1" applyFill="1" applyBorder="1" applyAlignment="1">
      <alignment horizontal="center" textRotation="90"/>
    </xf>
    <xf numFmtId="0" fontId="1" fillId="0" borderId="44" xfId="0" applyFont="1" applyFill="1" applyBorder="1" applyAlignment="1">
      <alignment horizontal="center" textRotation="90"/>
    </xf>
    <xf numFmtId="0" fontId="1" fillId="0" borderId="50" xfId="0" applyFont="1" applyFill="1" applyBorder="1" applyAlignment="1">
      <alignment horizontal="center" textRotation="90"/>
    </xf>
    <xf numFmtId="0" fontId="1" fillId="0" borderId="45" xfId="0" applyFont="1" applyFill="1" applyBorder="1" applyAlignment="1">
      <alignment horizontal="center" textRotation="90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wrapText="1"/>
    </xf>
    <xf numFmtId="2" fontId="1" fillId="34" borderId="64" xfId="0" applyNumberFormat="1" applyFont="1" applyFill="1" applyBorder="1" applyAlignment="1">
      <alignment horizontal="center" vertical="center" wrapText="1"/>
    </xf>
    <xf numFmtId="2" fontId="1" fillId="34" borderId="44" xfId="0" applyNumberFormat="1" applyFont="1" applyFill="1" applyBorder="1" applyAlignment="1">
      <alignment horizontal="center" vertical="center" wrapText="1"/>
    </xf>
    <xf numFmtId="2" fontId="1" fillId="34" borderId="66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 vertical="center" wrapText="1"/>
    </xf>
    <xf numFmtId="4" fontId="1" fillId="0" borderId="50" xfId="0" applyNumberFormat="1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wrapText="1"/>
    </xf>
    <xf numFmtId="4" fontId="1" fillId="0" borderId="64" xfId="0" applyNumberFormat="1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4" fontId="1" fillId="34" borderId="50" xfId="0" applyNumberFormat="1" applyFont="1" applyFill="1" applyBorder="1" applyAlignment="1">
      <alignment horizontal="center" vertical="center" wrapText="1"/>
    </xf>
    <xf numFmtId="4" fontId="1" fillId="34" borderId="45" xfId="0" applyNumberFormat="1" applyFont="1" applyFill="1" applyBorder="1" applyAlignment="1">
      <alignment horizontal="center" vertical="center" wrapText="1"/>
    </xf>
    <xf numFmtId="2" fontId="1" fillId="34" borderId="50" xfId="0" applyNumberFormat="1" applyFont="1" applyFill="1" applyBorder="1" applyAlignment="1">
      <alignment horizontal="center" vertical="center" wrapText="1"/>
    </xf>
    <xf numFmtId="2" fontId="1" fillId="34" borderId="45" xfId="0" applyNumberFormat="1" applyFont="1" applyFill="1" applyBorder="1" applyAlignment="1">
      <alignment horizontal="center" vertical="center" wrapText="1"/>
    </xf>
    <xf numFmtId="2" fontId="1" fillId="34" borderId="43" xfId="0" applyNumberFormat="1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36" borderId="50" xfId="0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" fillId="36" borderId="43" xfId="0" applyFont="1" applyFill="1" applyBorder="1" applyAlignment="1">
      <alignment horizontal="center" vertical="center" wrapText="1"/>
    </xf>
    <xf numFmtId="2" fontId="1" fillId="38" borderId="50" xfId="0" applyNumberFormat="1" applyFont="1" applyFill="1" applyBorder="1" applyAlignment="1">
      <alignment horizontal="center" vertical="center" wrapText="1"/>
    </xf>
    <xf numFmtId="2" fontId="1" fillId="38" borderId="45" xfId="0" applyNumberFormat="1" applyFont="1" applyFill="1" applyBorder="1" applyAlignment="1">
      <alignment horizontal="center" vertical="center" wrapText="1"/>
    </xf>
    <xf numFmtId="2" fontId="1" fillId="38" borderId="43" xfId="0" applyNumberFormat="1" applyFont="1" applyFill="1" applyBorder="1" applyAlignment="1">
      <alignment horizontal="center" vertical="center" wrapText="1"/>
    </xf>
    <xf numFmtId="2" fontId="9" fillId="34" borderId="50" xfId="0" applyNumberFormat="1" applyFont="1" applyFill="1" applyBorder="1" applyAlignment="1">
      <alignment horizontal="center" vertical="center" wrapText="1"/>
    </xf>
    <xf numFmtId="2" fontId="9" fillId="34" borderId="45" xfId="0" applyNumberFormat="1" applyFont="1" applyFill="1" applyBorder="1" applyAlignment="1">
      <alignment horizontal="center" vertical="center" wrapText="1"/>
    </xf>
    <xf numFmtId="2" fontId="9" fillId="34" borderId="43" xfId="0" applyNumberFormat="1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0" fillId="0" borderId="50" xfId="0" applyNumberFormat="1" applyFont="1" applyFill="1" applyBorder="1" applyAlignment="1">
      <alignment horizontal="center" vertical="center" wrapText="1"/>
    </xf>
    <xf numFmtId="2" fontId="10" fillId="0" borderId="43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2" fontId="1" fillId="0" borderId="68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37" borderId="33" xfId="0" applyNumberFormat="1" applyFont="1" applyFill="1" applyBorder="1" applyAlignment="1">
      <alignment horizontal="center" vertical="center" wrapText="1"/>
    </xf>
    <xf numFmtId="2" fontId="1" fillId="37" borderId="58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43" fontId="0" fillId="0" borderId="35" xfId="60" applyFont="1" applyFill="1" applyBorder="1" applyAlignment="1">
      <alignment horizontal="center"/>
    </xf>
    <xf numFmtId="43" fontId="0" fillId="0" borderId="28" xfId="60" applyFont="1" applyFill="1" applyBorder="1" applyAlignment="1">
      <alignment horizontal="center"/>
    </xf>
    <xf numFmtId="2" fontId="1" fillId="33" borderId="35" xfId="0" applyNumberFormat="1" applyFont="1" applyFill="1" applyBorder="1" applyAlignment="1">
      <alignment horizontal="center" vertical="center" textRotation="90" wrapText="1"/>
    </xf>
    <xf numFmtId="2" fontId="1" fillId="33" borderId="4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33" xfId="0" applyNumberFormat="1" applyFont="1" applyFill="1" applyBorder="1" applyAlignment="1">
      <alignment horizontal="center" vertical="center" textRotation="90" wrapText="1"/>
    </xf>
    <xf numFmtId="0" fontId="1" fillId="33" borderId="0" xfId="0" applyFont="1" applyFill="1" applyBorder="1" applyAlignment="1">
      <alignment horizontal="left"/>
    </xf>
    <xf numFmtId="0" fontId="1" fillId="0" borderId="7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33" borderId="42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0" fontId="1" fillId="0" borderId="67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71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33" xfId="0" applyNumberFormat="1" applyFont="1" applyFill="1" applyBorder="1" applyAlignment="1">
      <alignment horizontal="center" vertical="center" textRotation="90" wrapText="1"/>
    </xf>
    <xf numFmtId="4" fontId="1" fillId="0" borderId="72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4" fontId="1" fillId="0" borderId="42" xfId="0" applyNumberFormat="1" applyFont="1" applyFill="1" applyBorder="1" applyAlignment="1">
      <alignment horizontal="center" vertical="center" textRotation="90" wrapText="1"/>
    </xf>
    <xf numFmtId="4" fontId="1" fillId="0" borderId="73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48" xfId="0" applyNumberFormat="1" applyFont="1" applyFill="1" applyBorder="1" applyAlignment="1">
      <alignment horizontal="center" vertical="center" textRotation="90" wrapText="1"/>
    </xf>
    <xf numFmtId="0" fontId="1" fillId="0" borderId="54" xfId="0" applyFont="1" applyFill="1" applyBorder="1" applyAlignment="1">
      <alignment horizontal="center" vertical="center" wrapText="1"/>
    </xf>
    <xf numFmtId="2" fontId="1" fillId="0" borderId="74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0" borderId="75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2" fontId="1" fillId="0" borderId="76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2" fontId="1" fillId="34" borderId="67" xfId="0" applyNumberFormat="1" applyFont="1" applyFill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34" borderId="73" xfId="0" applyNumberFormat="1" applyFont="1" applyFill="1" applyBorder="1" applyAlignment="1">
      <alignment horizontal="center" vertical="center" wrapText="1"/>
    </xf>
    <xf numFmtId="2" fontId="1" fillId="34" borderId="69" xfId="0" applyNumberFormat="1" applyFont="1" applyFill="1" applyBorder="1" applyAlignment="1">
      <alignment horizontal="center" vertical="center" wrapText="1"/>
    </xf>
    <xf numFmtId="2" fontId="1" fillId="34" borderId="70" xfId="0" applyNumberFormat="1" applyFont="1" applyFill="1" applyBorder="1" applyAlignment="1">
      <alignment horizontal="center" vertical="center" wrapText="1"/>
    </xf>
    <xf numFmtId="2" fontId="1" fillId="34" borderId="61" xfId="0" applyNumberFormat="1" applyFont="1" applyFill="1" applyBorder="1" applyAlignment="1">
      <alignment horizontal="center" vertical="center" wrapText="1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0" borderId="77" xfId="0" applyNumberFormat="1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78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0" fontId="1" fillId="36" borderId="67" xfId="0" applyFont="1" applyFill="1" applyBorder="1" applyAlignment="1">
      <alignment horizontal="center" vertical="center" wrapText="1"/>
    </xf>
    <xf numFmtId="0" fontId="1" fillId="36" borderId="53" xfId="0" applyFont="1" applyFill="1" applyBorder="1" applyAlignment="1">
      <alignment horizontal="center" vertical="center" wrapText="1"/>
    </xf>
    <xf numFmtId="0" fontId="1" fillId="36" borderId="65" xfId="0" applyFont="1" applyFill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textRotation="90"/>
    </xf>
    <xf numFmtId="0" fontId="1" fillId="0" borderId="64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2" fontId="9" fillId="0" borderId="50" xfId="0" applyNumberFormat="1" applyFont="1" applyFill="1" applyBorder="1" applyAlignment="1">
      <alignment horizontal="center" vertical="center" wrapText="1"/>
    </xf>
    <xf numFmtId="2" fontId="9" fillId="0" borderId="45" xfId="0" applyNumberFormat="1" applyFont="1" applyFill="1" applyBorder="1" applyAlignment="1">
      <alignment horizontal="center" vertical="center" wrapText="1"/>
    </xf>
    <xf numFmtId="2" fontId="9" fillId="0" borderId="43" xfId="0" applyNumberFormat="1" applyFont="1" applyFill="1" applyBorder="1" applyAlignment="1">
      <alignment horizontal="center" vertical="center" wrapText="1"/>
    </xf>
    <xf numFmtId="0" fontId="1" fillId="35" borderId="43" xfId="0" applyFont="1" applyFill="1" applyBorder="1" applyAlignment="1">
      <alignment horizontal="center" textRotation="90"/>
    </xf>
    <xf numFmtId="0" fontId="1" fillId="0" borderId="67" xfId="0" applyFont="1" applyFill="1" applyBorder="1" applyAlignment="1">
      <alignment horizontal="left"/>
    </xf>
    <xf numFmtId="0" fontId="1" fillId="0" borderId="6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42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2" fontId="1" fillId="0" borderId="60" xfId="0" applyNumberFormat="1" applyFont="1" applyFill="1" applyBorder="1" applyAlignment="1">
      <alignment horizontal="center" vertical="center" textRotation="90" wrapText="1"/>
    </xf>
    <xf numFmtId="4" fontId="1" fillId="0" borderId="75" xfId="0" applyNumberFormat="1" applyFont="1" applyFill="1" applyBorder="1" applyAlignment="1">
      <alignment horizontal="center" vertical="center" textRotation="90" wrapText="1"/>
    </xf>
    <xf numFmtId="4" fontId="1" fillId="0" borderId="35" xfId="0" applyNumberFormat="1" applyFont="1" applyFill="1" applyBorder="1" applyAlignment="1">
      <alignment horizontal="center" vertical="center" textRotation="90" wrapText="1"/>
    </xf>
    <xf numFmtId="4" fontId="1" fillId="0" borderId="41" xfId="0" applyNumberFormat="1" applyFont="1" applyFill="1" applyBorder="1" applyAlignment="1">
      <alignment horizontal="center" vertical="center" textRotation="90" wrapText="1"/>
    </xf>
    <xf numFmtId="4" fontId="1" fillId="0" borderId="57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/>
    </xf>
    <xf numFmtId="0" fontId="31" fillId="0" borderId="11" xfId="0" applyFont="1" applyBorder="1" applyAlignment="1">
      <alignment wrapText="1"/>
    </xf>
    <xf numFmtId="0" fontId="31" fillId="0" borderId="35" xfId="0" applyFont="1" applyBorder="1" applyAlignment="1">
      <alignment wrapText="1"/>
    </xf>
    <xf numFmtId="4" fontId="2" fillId="35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right"/>
    </xf>
    <xf numFmtId="4" fontId="0" fillId="41" borderId="15" xfId="0" applyNumberFormat="1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1;&#1077;&#1085;&#1080;&#1085;&#1072;,%2038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13%20&#1089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1;&#1077;&#1085;&#1080;&#1085;&#1072;,%2040%20&#1089;%202011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1;&#1077;&#1085;&#1080;&#1085;&#1072;,%2052%20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O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D42">
            <v>0</v>
          </cell>
          <cell r="AE4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F44">
            <v>0</v>
          </cell>
          <cell r="AQ44">
            <v>0</v>
          </cell>
          <cell r="AR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BC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N1">
      <selection activeCell="D54" sqref="D54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0.25390625" style="2" customWidth="1"/>
    <col min="33" max="37" width="9.25390625" style="2" bestFit="1" customWidth="1"/>
    <col min="38" max="38" width="10.125" style="2" bestFit="1" customWidth="1"/>
    <col min="39" max="41" width="9.25390625" style="2" bestFit="1" customWidth="1"/>
    <col min="42" max="42" width="10.125" style="2" bestFit="1" customWidth="1"/>
    <col min="43" max="43" width="9.25390625" style="2" bestFit="1" customWidth="1"/>
    <col min="44" max="44" width="10.625" style="2" customWidth="1"/>
    <col min="45" max="45" width="9.25390625" style="2" bestFit="1" customWidth="1"/>
    <col min="46" max="47" width="10.125" style="2" bestFit="1" customWidth="1"/>
    <col min="48" max="48" width="9.375" style="2" customWidth="1"/>
    <col min="49" max="49" width="8.00390625" style="2" customWidth="1"/>
    <col min="50" max="50" width="9.75390625" style="2" customWidth="1"/>
    <col min="51" max="53" width="9.125" style="2" customWidth="1"/>
    <col min="54" max="54" width="10.00390625" style="2" customWidth="1"/>
    <col min="55" max="56" width="9.125" style="2" customWidth="1"/>
    <col min="57" max="57" width="10.00390625" style="2" customWidth="1"/>
    <col min="58" max="16384" width="9.125" style="2" customWidth="1"/>
  </cols>
  <sheetData>
    <row r="1" spans="1:18" ht="12.75">
      <c r="A1" s="392" t="s">
        <v>91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388" t="s">
        <v>76</v>
      </c>
      <c r="B3" s="394" t="s">
        <v>0</v>
      </c>
      <c r="C3" s="396" t="s">
        <v>1</v>
      </c>
      <c r="D3" s="398" t="s">
        <v>2</v>
      </c>
      <c r="E3" s="388" t="s">
        <v>11</v>
      </c>
      <c r="F3" s="405"/>
      <c r="G3" s="388" t="s">
        <v>12</v>
      </c>
      <c r="H3" s="389"/>
      <c r="I3" s="388" t="s">
        <v>13</v>
      </c>
      <c r="J3" s="389"/>
      <c r="K3" s="388" t="s">
        <v>14</v>
      </c>
      <c r="L3" s="389"/>
      <c r="M3" s="403" t="s">
        <v>15</v>
      </c>
      <c r="N3" s="389"/>
      <c r="O3" s="388" t="s">
        <v>16</v>
      </c>
      <c r="P3" s="389"/>
      <c r="Q3" s="388" t="s">
        <v>17</v>
      </c>
      <c r="R3" s="389"/>
      <c r="S3" s="388" t="s">
        <v>3</v>
      </c>
      <c r="T3" s="403"/>
      <c r="U3" s="419" t="s">
        <v>4</v>
      </c>
      <c r="V3" s="420"/>
      <c r="W3" s="420"/>
      <c r="X3" s="420"/>
      <c r="Y3" s="420"/>
      <c r="Z3" s="420"/>
      <c r="AA3" s="420"/>
      <c r="AB3" s="420"/>
      <c r="AC3" s="400" t="s">
        <v>77</v>
      </c>
      <c r="AD3" s="383" t="s">
        <v>6</v>
      </c>
      <c r="AE3" s="383" t="s">
        <v>7</v>
      </c>
      <c r="AF3" s="416" t="s">
        <v>78</v>
      </c>
      <c r="AG3" s="431" t="s">
        <v>8</v>
      </c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  <c r="AZ3" s="432"/>
      <c r="BA3" s="432"/>
      <c r="BB3" s="433"/>
      <c r="BC3" s="426" t="s">
        <v>79</v>
      </c>
      <c r="BD3" s="427"/>
      <c r="BE3" s="410" t="s">
        <v>9</v>
      </c>
      <c r="BF3" s="410" t="s">
        <v>10</v>
      </c>
    </row>
    <row r="4" spans="1:58" ht="36" customHeight="1" thickBot="1">
      <c r="A4" s="393"/>
      <c r="B4" s="395"/>
      <c r="C4" s="397"/>
      <c r="D4" s="399"/>
      <c r="E4" s="406"/>
      <c r="F4" s="407"/>
      <c r="G4" s="390"/>
      <c r="H4" s="391"/>
      <c r="I4" s="390"/>
      <c r="J4" s="391"/>
      <c r="K4" s="390"/>
      <c r="L4" s="391"/>
      <c r="M4" s="408"/>
      <c r="N4" s="409"/>
      <c r="O4" s="390"/>
      <c r="P4" s="391"/>
      <c r="Q4" s="390"/>
      <c r="R4" s="391"/>
      <c r="S4" s="390"/>
      <c r="T4" s="404"/>
      <c r="U4" s="421"/>
      <c r="V4" s="422"/>
      <c r="W4" s="422"/>
      <c r="X4" s="422"/>
      <c r="Y4" s="422"/>
      <c r="Z4" s="422"/>
      <c r="AA4" s="422"/>
      <c r="AB4" s="422"/>
      <c r="AC4" s="401"/>
      <c r="AD4" s="384"/>
      <c r="AE4" s="384"/>
      <c r="AF4" s="417"/>
      <c r="AG4" s="382"/>
      <c r="AH4" s="434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5"/>
      <c r="BC4" s="413" t="s">
        <v>80</v>
      </c>
      <c r="BD4" s="425" t="s">
        <v>81</v>
      </c>
      <c r="BE4" s="411"/>
      <c r="BF4" s="411"/>
    </row>
    <row r="5" spans="1:58" ht="29.25" customHeight="1" thickBot="1">
      <c r="A5" s="393"/>
      <c r="B5" s="395"/>
      <c r="C5" s="397"/>
      <c r="D5" s="399"/>
      <c r="E5" s="377" t="s">
        <v>18</v>
      </c>
      <c r="F5" s="379" t="s">
        <v>19</v>
      </c>
      <c r="G5" s="379" t="s">
        <v>18</v>
      </c>
      <c r="H5" s="379" t="s">
        <v>19</v>
      </c>
      <c r="I5" s="379" t="s">
        <v>18</v>
      </c>
      <c r="J5" s="379" t="s">
        <v>19</v>
      </c>
      <c r="K5" s="379" t="s">
        <v>18</v>
      </c>
      <c r="L5" s="379" t="s">
        <v>19</v>
      </c>
      <c r="M5" s="379" t="s">
        <v>18</v>
      </c>
      <c r="N5" s="379" t="s">
        <v>19</v>
      </c>
      <c r="O5" s="379" t="s">
        <v>18</v>
      </c>
      <c r="P5" s="379" t="s">
        <v>19</v>
      </c>
      <c r="Q5" s="379" t="s">
        <v>18</v>
      </c>
      <c r="R5" s="379" t="s">
        <v>19</v>
      </c>
      <c r="S5" s="379" t="s">
        <v>18</v>
      </c>
      <c r="T5" s="375" t="s">
        <v>19</v>
      </c>
      <c r="U5" s="373" t="s">
        <v>20</v>
      </c>
      <c r="V5" s="373" t="s">
        <v>21</v>
      </c>
      <c r="W5" s="373" t="s">
        <v>22</v>
      </c>
      <c r="X5" s="373" t="s">
        <v>23</v>
      </c>
      <c r="Y5" s="373" t="s">
        <v>24</v>
      </c>
      <c r="Z5" s="373" t="s">
        <v>25</v>
      </c>
      <c r="AA5" s="373" t="s">
        <v>26</v>
      </c>
      <c r="AB5" s="381" t="s">
        <v>27</v>
      </c>
      <c r="AC5" s="401"/>
      <c r="AD5" s="384"/>
      <c r="AE5" s="384"/>
      <c r="AF5" s="417"/>
      <c r="AG5" s="423" t="s">
        <v>28</v>
      </c>
      <c r="AH5" s="386" t="s">
        <v>29</v>
      </c>
      <c r="AI5" s="386" t="s">
        <v>30</v>
      </c>
      <c r="AJ5" s="369" t="s">
        <v>31</v>
      </c>
      <c r="AK5" s="386" t="s">
        <v>32</v>
      </c>
      <c r="AL5" s="369" t="s">
        <v>31</v>
      </c>
      <c r="AM5" s="369" t="s">
        <v>33</v>
      </c>
      <c r="AN5" s="369" t="s">
        <v>31</v>
      </c>
      <c r="AO5" s="369" t="s">
        <v>34</v>
      </c>
      <c r="AP5" s="369" t="s">
        <v>31</v>
      </c>
      <c r="AQ5" s="436" t="s">
        <v>88</v>
      </c>
      <c r="AR5" s="371" t="s">
        <v>31</v>
      </c>
      <c r="AS5" s="367" t="s">
        <v>82</v>
      </c>
      <c r="AT5" s="367" t="s">
        <v>83</v>
      </c>
      <c r="AU5" s="163" t="s">
        <v>31</v>
      </c>
      <c r="AV5" s="426" t="s">
        <v>84</v>
      </c>
      <c r="AW5" s="428"/>
      <c r="AX5" s="427"/>
      <c r="AY5" s="429" t="s">
        <v>17</v>
      </c>
      <c r="AZ5" s="425" t="s">
        <v>36</v>
      </c>
      <c r="BA5" s="425" t="s">
        <v>31</v>
      </c>
      <c r="BB5" s="425" t="s">
        <v>37</v>
      </c>
      <c r="BC5" s="414"/>
      <c r="BD5" s="369"/>
      <c r="BE5" s="411"/>
      <c r="BF5" s="411"/>
    </row>
    <row r="6" spans="1:58" ht="54" customHeight="1" thickBot="1">
      <c r="A6" s="393"/>
      <c r="B6" s="395"/>
      <c r="C6" s="397"/>
      <c r="D6" s="399"/>
      <c r="E6" s="378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76"/>
      <c r="U6" s="374"/>
      <c r="V6" s="374"/>
      <c r="W6" s="374"/>
      <c r="X6" s="374"/>
      <c r="Y6" s="374"/>
      <c r="Z6" s="374"/>
      <c r="AA6" s="374"/>
      <c r="AB6" s="382"/>
      <c r="AC6" s="402"/>
      <c r="AD6" s="385"/>
      <c r="AE6" s="385"/>
      <c r="AF6" s="418"/>
      <c r="AG6" s="424"/>
      <c r="AH6" s="387"/>
      <c r="AI6" s="387"/>
      <c r="AJ6" s="370"/>
      <c r="AK6" s="387"/>
      <c r="AL6" s="370"/>
      <c r="AM6" s="370"/>
      <c r="AN6" s="370"/>
      <c r="AO6" s="370"/>
      <c r="AP6" s="370"/>
      <c r="AQ6" s="437"/>
      <c r="AR6" s="372"/>
      <c r="AS6" s="368"/>
      <c r="AT6" s="368"/>
      <c r="AU6" s="135"/>
      <c r="AV6" s="134" t="s">
        <v>85</v>
      </c>
      <c r="AW6" s="134" t="s">
        <v>86</v>
      </c>
      <c r="AX6" s="134" t="s">
        <v>87</v>
      </c>
      <c r="AY6" s="430"/>
      <c r="AZ6" s="370"/>
      <c r="BA6" s="370"/>
      <c r="BB6" s="370"/>
      <c r="BC6" s="415"/>
      <c r="BD6" s="370"/>
      <c r="BE6" s="412"/>
      <c r="BF6" s="412"/>
    </row>
    <row r="7" spans="1:58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200">
        <v>43</v>
      </c>
      <c r="AR7" s="201">
        <v>44</v>
      </c>
      <c r="AS7" s="196">
        <v>45</v>
      </c>
      <c r="AT7" s="10">
        <v>46</v>
      </c>
      <c r="AU7" s="196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11">
        <v>56</v>
      </c>
      <c r="BE7" s="1"/>
      <c r="BF7" s="158"/>
    </row>
    <row r="8" spans="1:58" ht="12.75" hidden="1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199"/>
      <c r="AR8" s="199"/>
      <c r="AS8" s="6"/>
      <c r="AT8" s="6"/>
      <c r="AU8" s="6"/>
      <c r="AV8" s="7"/>
      <c r="AW8" s="7"/>
      <c r="AX8" s="7"/>
      <c r="AY8" s="7"/>
      <c r="AZ8" s="13"/>
      <c r="BA8" s="1"/>
      <c r="BB8" s="1"/>
      <c r="BC8" s="1"/>
      <c r="BD8" s="1"/>
      <c r="BE8" s="1"/>
      <c r="BF8" s="158"/>
    </row>
    <row r="9" spans="1:58" s="146" customFormat="1" ht="12.75" hidden="1">
      <c r="A9" s="147" t="s">
        <v>39</v>
      </c>
      <c r="B9" s="136">
        <v>631.7</v>
      </c>
      <c r="C9" s="130">
        <f>B9*8.65</f>
        <v>5464.205000000001</v>
      </c>
      <c r="D9" s="137">
        <f>C9*0.24088</f>
        <v>1316.2177004000002</v>
      </c>
      <c r="E9" s="16">
        <v>440.14</v>
      </c>
      <c r="F9" s="16">
        <v>78.2</v>
      </c>
      <c r="G9" s="16">
        <v>594.2</v>
      </c>
      <c r="H9" s="16">
        <v>105.57</v>
      </c>
      <c r="I9" s="16">
        <v>1430.46</v>
      </c>
      <c r="J9" s="16">
        <v>254.15</v>
      </c>
      <c r="K9" s="16">
        <v>990.33</v>
      </c>
      <c r="L9" s="16">
        <v>175.95</v>
      </c>
      <c r="M9" s="138">
        <v>352.11</v>
      </c>
      <c r="N9" s="138">
        <v>62.56</v>
      </c>
      <c r="O9" s="16">
        <v>0</v>
      </c>
      <c r="P9" s="16">
        <v>0</v>
      </c>
      <c r="Q9" s="16">
        <v>0</v>
      </c>
      <c r="R9" s="16">
        <v>0</v>
      </c>
      <c r="S9" s="16">
        <f>E9+G9+I9+K9+M9+O9+Q9</f>
        <v>3807.2400000000002</v>
      </c>
      <c r="T9" s="139">
        <f>P9+N9+L9+J9+H9+F9+R9</f>
        <v>676.4300000000001</v>
      </c>
      <c r="U9" s="16">
        <v>18.34</v>
      </c>
      <c r="V9" s="16">
        <v>24.75</v>
      </c>
      <c r="W9" s="16">
        <v>59.59</v>
      </c>
      <c r="X9" s="16">
        <v>41.26</v>
      </c>
      <c r="Y9" s="16">
        <v>14.67</v>
      </c>
      <c r="Z9" s="79">
        <v>0</v>
      </c>
      <c r="AA9" s="79">
        <v>0</v>
      </c>
      <c r="AB9" s="79">
        <f>SUM(U9:AA9)</f>
        <v>158.60999999999999</v>
      </c>
      <c r="AC9" s="140">
        <f>D9+T9+AB9</f>
        <v>2151.2577004000004</v>
      </c>
      <c r="AD9" s="141">
        <f>P9+Z9</f>
        <v>0</v>
      </c>
      <c r="AE9" s="101">
        <f>R9+AA9</f>
        <v>0</v>
      </c>
      <c r="AF9" s="101"/>
      <c r="AG9" s="16">
        <f>0.6*B9</f>
        <v>379.02000000000004</v>
      </c>
      <c r="AH9" s="16">
        <f>B9*0.2*1.05826</f>
        <v>133.7005684</v>
      </c>
      <c r="AI9" s="16">
        <f>0.8518*B9</f>
        <v>538.0820600000001</v>
      </c>
      <c r="AJ9" s="16">
        <f>AI9*0.18</f>
        <v>96.85477080000001</v>
      </c>
      <c r="AK9" s="16">
        <f>1.04*B9*0.9531</f>
        <v>626.1562008000001</v>
      </c>
      <c r="AL9" s="16">
        <f>AK9*0.18</f>
        <v>112.70811614400002</v>
      </c>
      <c r="AM9" s="16">
        <f>(1.91)*B9*0.9531</f>
        <v>1149.9599457</v>
      </c>
      <c r="AN9" s="16">
        <f>AM9*0.18</f>
        <v>206.99279022599998</v>
      </c>
      <c r="AO9" s="16"/>
      <c r="AP9" s="16">
        <f>AO9*0.18</f>
        <v>0</v>
      </c>
      <c r="AS9" s="25">
        <v>6133.91</v>
      </c>
      <c r="AT9" s="25"/>
      <c r="AU9" s="25">
        <f>(AS9+AT9)*0.18</f>
        <v>1104.1037999999999</v>
      </c>
      <c r="AV9" s="142"/>
      <c r="AW9" s="143"/>
      <c r="AX9" s="16">
        <f>AV9*AW9*1.12*1.18</f>
        <v>0</v>
      </c>
      <c r="AY9" s="144"/>
      <c r="AZ9" s="79"/>
      <c r="BA9" s="79">
        <f>AZ9*0.18</f>
        <v>0</v>
      </c>
      <c r="BB9" s="79">
        <f>SUM(AG9:BA9)-AV9-AW9</f>
        <v>10481.488252070001</v>
      </c>
      <c r="BC9" s="79"/>
      <c r="BD9" s="18">
        <f>BB9-(AF9-BC9)</f>
        <v>10481.488252070001</v>
      </c>
      <c r="BE9" s="145">
        <f>AC9-BD9</f>
        <v>-8330.23055167</v>
      </c>
      <c r="BF9" s="206">
        <f>AB9-S9</f>
        <v>-3648.63</v>
      </c>
    </row>
    <row r="10" spans="1:58" ht="12.75" hidden="1">
      <c r="A10" s="14" t="s">
        <v>40</v>
      </c>
      <c r="B10" s="136">
        <v>631.7</v>
      </c>
      <c r="C10" s="130">
        <f>B10*8.65</f>
        <v>5464.205000000001</v>
      </c>
      <c r="D10" s="137">
        <f>C10*0.24088</f>
        <v>1316.2177004000002</v>
      </c>
      <c r="E10" s="16">
        <v>0</v>
      </c>
      <c r="F10" s="16">
        <v>0</v>
      </c>
      <c r="G10" s="16">
        <v>-0.02</v>
      </c>
      <c r="H10" s="16">
        <v>0.01</v>
      </c>
      <c r="I10" s="16">
        <v>-0.04</v>
      </c>
      <c r="J10" s="16">
        <v>0.03</v>
      </c>
      <c r="K10" s="16">
        <v>-0.05</v>
      </c>
      <c r="L10" s="16">
        <v>0.03</v>
      </c>
      <c r="M10" s="138">
        <v>-0.01</v>
      </c>
      <c r="N10" s="138">
        <v>0</v>
      </c>
      <c r="O10" s="16">
        <v>0</v>
      </c>
      <c r="P10" s="16">
        <v>0</v>
      </c>
      <c r="Q10" s="16">
        <v>0</v>
      </c>
      <c r="R10" s="16">
        <v>0</v>
      </c>
      <c r="S10" s="16">
        <f>E10+G10+I10+K10+M10+O10+Q10</f>
        <v>-0.12</v>
      </c>
      <c r="T10" s="139">
        <f>P10+N10+L10+J10+H10+F10+R10</f>
        <v>0.06999999999999999</v>
      </c>
      <c r="U10" s="16">
        <v>265.12</v>
      </c>
      <c r="V10" s="16">
        <v>357.92</v>
      </c>
      <c r="W10" s="16">
        <v>975.13</v>
      </c>
      <c r="X10" s="16">
        <v>596.55</v>
      </c>
      <c r="Y10" s="16">
        <v>212.09</v>
      </c>
      <c r="Z10" s="16">
        <v>0</v>
      </c>
      <c r="AA10" s="79">
        <v>0</v>
      </c>
      <c r="AB10" s="18">
        <f>SUM(U10:AA10)</f>
        <v>2406.8100000000004</v>
      </c>
      <c r="AC10" s="148">
        <f>D10+T10+AB10</f>
        <v>3723.0977004000006</v>
      </c>
      <c r="AD10" s="101">
        <f>P10+Z10</f>
        <v>0</v>
      </c>
      <c r="AE10" s="101">
        <f>R10+AA10</f>
        <v>0</v>
      </c>
      <c r="AF10" s="101"/>
      <c r="AG10" s="16">
        <f>0.6*B10</f>
        <v>379.02000000000004</v>
      </c>
      <c r="AH10" s="16">
        <f>B10*0.201</f>
        <v>126.97170000000001</v>
      </c>
      <c r="AI10" s="16">
        <f>0.8518*B10</f>
        <v>538.0820600000001</v>
      </c>
      <c r="AJ10" s="16">
        <f>AI10*0.18</f>
        <v>96.85477080000001</v>
      </c>
      <c r="AK10" s="16">
        <f>1.04*B10*0.9531</f>
        <v>626.1562008000001</v>
      </c>
      <c r="AL10" s="16">
        <f>AK10*0.18</f>
        <v>112.70811614400002</v>
      </c>
      <c r="AM10" s="16">
        <f>(1.91)*B10*0.9531</f>
        <v>1149.9599457</v>
      </c>
      <c r="AN10" s="16">
        <f>AM10*0.18</f>
        <v>206.99279022599998</v>
      </c>
      <c r="AO10" s="16"/>
      <c r="AP10" s="16">
        <f>AO10*0.18</f>
        <v>0</v>
      </c>
      <c r="AS10" s="25">
        <v>510</v>
      </c>
      <c r="AT10" s="25"/>
      <c r="AU10" s="25">
        <f>(AS10+AT10)*0.18</f>
        <v>91.8</v>
      </c>
      <c r="AV10" s="142"/>
      <c r="AW10" s="143"/>
      <c r="AX10" s="16">
        <f>AV10*AW10*1.12*1.18</f>
        <v>0</v>
      </c>
      <c r="AY10" s="144"/>
      <c r="AZ10" s="79"/>
      <c r="BA10" s="79">
        <f>AZ10*0.18</f>
        <v>0</v>
      </c>
      <c r="BB10" s="79">
        <f>SUM(AG10:BA10)-AV10-AW10</f>
        <v>3838.5455836700007</v>
      </c>
      <c r="BC10" s="79"/>
      <c r="BD10" s="18">
        <f>BB10-(AF10-BC10)</f>
        <v>3838.5455836700007</v>
      </c>
      <c r="BE10" s="145">
        <f>AC10-BD10</f>
        <v>-115.44788327000015</v>
      </c>
      <c r="BF10" s="145">
        <f>AB10-S10</f>
        <v>2406.9300000000003</v>
      </c>
    </row>
    <row r="11" spans="1:58" ht="13.5" hidden="1" thickBot="1">
      <c r="A11" s="44" t="s">
        <v>41</v>
      </c>
      <c r="B11" s="136">
        <v>631.7</v>
      </c>
      <c r="C11" s="130">
        <f>B11*8.65</f>
        <v>5464.205000000001</v>
      </c>
      <c r="D11" s="137">
        <f>C11*0.24035</f>
        <v>1313.3216717500002</v>
      </c>
      <c r="E11" s="16">
        <v>220.07</v>
      </c>
      <c r="F11" s="16">
        <v>39.1</v>
      </c>
      <c r="G11" s="16">
        <v>297.08</v>
      </c>
      <c r="H11" s="16">
        <v>52.79</v>
      </c>
      <c r="I11" s="16">
        <v>715.21</v>
      </c>
      <c r="J11" s="16">
        <v>127.09</v>
      </c>
      <c r="K11" s="16">
        <v>495.14</v>
      </c>
      <c r="L11" s="16">
        <v>87.99</v>
      </c>
      <c r="M11" s="138">
        <v>176.05</v>
      </c>
      <c r="N11" s="207">
        <v>31.28</v>
      </c>
      <c r="O11" s="79">
        <v>0</v>
      </c>
      <c r="P11" s="79">
        <v>0</v>
      </c>
      <c r="Q11" s="79">
        <v>0</v>
      </c>
      <c r="R11" s="79">
        <v>0</v>
      </c>
      <c r="S11" s="16">
        <f>E11+G11+I11+K11+M11+O11+Q11</f>
        <v>1903.55</v>
      </c>
      <c r="T11" s="139">
        <f>P11+N11+L11+J11+H11+F11+R11</f>
        <v>338.25000000000006</v>
      </c>
      <c r="U11" s="16">
        <v>48.52</v>
      </c>
      <c r="V11" s="16">
        <v>65.5</v>
      </c>
      <c r="W11" s="16">
        <v>169.15</v>
      </c>
      <c r="X11" s="16">
        <v>109.13</v>
      </c>
      <c r="Y11" s="16">
        <v>38.82</v>
      </c>
      <c r="Z11" s="16">
        <v>0</v>
      </c>
      <c r="AA11" s="79">
        <v>0</v>
      </c>
      <c r="AB11" s="18">
        <f>SUM(U11:AA11)</f>
        <v>431.12</v>
      </c>
      <c r="AC11" s="148">
        <f>D11+T11+AB11</f>
        <v>2082.6916717500003</v>
      </c>
      <c r="AD11" s="101">
        <f>P11+Z11</f>
        <v>0</v>
      </c>
      <c r="AE11" s="101">
        <f>R11+AA11</f>
        <v>0</v>
      </c>
      <c r="AF11" s="101"/>
      <c r="AG11" s="16">
        <f>0.6*B11</f>
        <v>379.02000000000004</v>
      </c>
      <c r="AH11" s="16">
        <f>B11*0.2*1.02524</f>
        <v>129.52882160000001</v>
      </c>
      <c r="AI11" s="16">
        <f>0.84932*B11</f>
        <v>536.515444</v>
      </c>
      <c r="AJ11" s="16">
        <f>AI11*0.18</f>
        <v>96.57277992</v>
      </c>
      <c r="AK11" s="16">
        <f>1.04*B11*0.95033</f>
        <v>624.33639944</v>
      </c>
      <c r="AL11" s="16">
        <f>AK11*0.18</f>
        <v>112.3805518992</v>
      </c>
      <c r="AM11" s="16">
        <f>(1.91)*B11*0.95033</f>
        <v>1146.61781051</v>
      </c>
      <c r="AN11" s="16">
        <f>AM11*0.18</f>
        <v>206.39120589179998</v>
      </c>
      <c r="AO11" s="16"/>
      <c r="AP11" s="16">
        <f>AO11*0.18</f>
        <v>0</v>
      </c>
      <c r="AS11" s="25"/>
      <c r="AT11" s="25"/>
      <c r="AU11" s="25">
        <f>(AS11+AT11)*0.18</f>
        <v>0</v>
      </c>
      <c r="AV11" s="142"/>
      <c r="AW11" s="143"/>
      <c r="AX11" s="16">
        <f>AV11*AW11*1.12*1.18</f>
        <v>0</v>
      </c>
      <c r="AY11" s="144"/>
      <c r="AZ11" s="79"/>
      <c r="BA11" s="79">
        <f>AZ11*0.18</f>
        <v>0</v>
      </c>
      <c r="BB11" s="79">
        <f>SUM(AG11:BA11)-AV11-AW11</f>
        <v>3231.363013261</v>
      </c>
      <c r="BC11" s="79"/>
      <c r="BD11" s="18">
        <f>BB11-(AF11-BC11)</f>
        <v>3231.363013261</v>
      </c>
      <c r="BE11" s="145">
        <f>AC11-BD11</f>
        <v>-1148.6713415109998</v>
      </c>
      <c r="BF11" s="145">
        <f>AB11-S11</f>
        <v>-1472.4299999999998</v>
      </c>
    </row>
    <row r="12" spans="1:58" s="24" customFormat="1" ht="15" customHeight="1" hidden="1" thickBot="1">
      <c r="A12" s="45" t="s">
        <v>3</v>
      </c>
      <c r="B12" s="71"/>
      <c r="C12" s="71">
        <f>SUM(C9:C11)</f>
        <v>16392.615</v>
      </c>
      <c r="D12" s="71">
        <f aca="true" t="shared" si="0" ref="D12:AM12">SUM(D9:D11)</f>
        <v>3945.757072550001</v>
      </c>
      <c r="E12" s="71">
        <f t="shared" si="0"/>
        <v>660.21</v>
      </c>
      <c r="F12" s="71">
        <f t="shared" si="0"/>
        <v>117.30000000000001</v>
      </c>
      <c r="G12" s="71">
        <f t="shared" si="0"/>
        <v>891.26</v>
      </c>
      <c r="H12" s="71">
        <f t="shared" si="0"/>
        <v>158.37</v>
      </c>
      <c r="I12" s="71">
        <f t="shared" si="0"/>
        <v>2145.63</v>
      </c>
      <c r="J12" s="71">
        <f t="shared" si="0"/>
        <v>381.27</v>
      </c>
      <c r="K12" s="71">
        <f t="shared" si="0"/>
        <v>1485.42</v>
      </c>
      <c r="L12" s="71">
        <f t="shared" si="0"/>
        <v>263.96999999999997</v>
      </c>
      <c r="M12" s="71">
        <f t="shared" si="0"/>
        <v>528.1500000000001</v>
      </c>
      <c r="N12" s="71">
        <f t="shared" si="0"/>
        <v>93.84</v>
      </c>
      <c r="O12" s="71">
        <f t="shared" si="0"/>
        <v>0</v>
      </c>
      <c r="P12" s="71">
        <f t="shared" si="0"/>
        <v>0</v>
      </c>
      <c r="Q12" s="71">
        <f t="shared" si="0"/>
        <v>0</v>
      </c>
      <c r="R12" s="71">
        <f t="shared" si="0"/>
        <v>0</v>
      </c>
      <c r="S12" s="71">
        <f t="shared" si="0"/>
        <v>5710.67</v>
      </c>
      <c r="T12" s="71">
        <f t="shared" si="0"/>
        <v>1014.7500000000002</v>
      </c>
      <c r="U12" s="71">
        <f t="shared" si="0"/>
        <v>331.97999999999996</v>
      </c>
      <c r="V12" s="71">
        <f t="shared" si="0"/>
        <v>448.17</v>
      </c>
      <c r="W12" s="71">
        <f t="shared" si="0"/>
        <v>1203.8700000000001</v>
      </c>
      <c r="X12" s="71">
        <f t="shared" si="0"/>
        <v>746.9399999999999</v>
      </c>
      <c r="Y12" s="71">
        <f t="shared" si="0"/>
        <v>265.58</v>
      </c>
      <c r="Z12" s="71">
        <f t="shared" si="0"/>
        <v>0</v>
      </c>
      <c r="AA12" s="71">
        <f t="shared" si="0"/>
        <v>0</v>
      </c>
      <c r="AB12" s="71">
        <f t="shared" si="0"/>
        <v>2996.5400000000004</v>
      </c>
      <c r="AC12" s="71">
        <f t="shared" si="0"/>
        <v>7957.047072550002</v>
      </c>
      <c r="AD12" s="71">
        <f t="shared" si="0"/>
        <v>0</v>
      </c>
      <c r="AE12" s="71">
        <f t="shared" si="0"/>
        <v>0</v>
      </c>
      <c r="AF12" s="71">
        <f t="shared" si="0"/>
        <v>0</v>
      </c>
      <c r="AG12" s="71">
        <f t="shared" si="0"/>
        <v>1137.0600000000002</v>
      </c>
      <c r="AH12" s="71">
        <f t="shared" si="0"/>
        <v>390.20109</v>
      </c>
      <c r="AI12" s="71">
        <f t="shared" si="0"/>
        <v>1612.679564</v>
      </c>
      <c r="AJ12" s="71">
        <f t="shared" si="0"/>
        <v>290.28232152000004</v>
      </c>
      <c r="AK12" s="71">
        <f t="shared" si="0"/>
        <v>1876.6488010400003</v>
      </c>
      <c r="AL12" s="71">
        <f t="shared" si="0"/>
        <v>337.79678418720005</v>
      </c>
      <c r="AM12" s="71">
        <f t="shared" si="0"/>
        <v>3446.5377019099997</v>
      </c>
      <c r="AN12" s="71">
        <f aca="true" t="shared" si="1" ref="AN12:BF12">SUM(AN9:AN11)</f>
        <v>620.3767863438</v>
      </c>
      <c r="AO12" s="71">
        <f t="shared" si="1"/>
        <v>0</v>
      </c>
      <c r="AP12" s="71">
        <f t="shared" si="1"/>
        <v>0</v>
      </c>
      <c r="AQ12" s="71">
        <f t="shared" si="1"/>
        <v>0</v>
      </c>
      <c r="AR12" s="71">
        <f t="shared" si="1"/>
        <v>0</v>
      </c>
      <c r="AS12" s="71">
        <f t="shared" si="1"/>
        <v>6643.91</v>
      </c>
      <c r="AT12" s="71">
        <f t="shared" si="1"/>
        <v>0</v>
      </c>
      <c r="AU12" s="71">
        <f t="shared" si="1"/>
        <v>1195.9037999999998</v>
      </c>
      <c r="AV12" s="71">
        <f t="shared" si="1"/>
        <v>0</v>
      </c>
      <c r="AW12" s="71">
        <f t="shared" si="1"/>
        <v>0</v>
      </c>
      <c r="AX12" s="71">
        <f t="shared" si="1"/>
        <v>0</v>
      </c>
      <c r="AY12" s="71">
        <f t="shared" si="1"/>
        <v>0</v>
      </c>
      <c r="AZ12" s="71">
        <f t="shared" si="1"/>
        <v>0</v>
      </c>
      <c r="BA12" s="71">
        <f t="shared" si="1"/>
        <v>0</v>
      </c>
      <c r="BB12" s="71">
        <f t="shared" si="1"/>
        <v>17551.396849001</v>
      </c>
      <c r="BC12" s="71">
        <f t="shared" si="1"/>
        <v>0</v>
      </c>
      <c r="BD12" s="71">
        <f t="shared" si="1"/>
        <v>17551.396849001</v>
      </c>
      <c r="BE12" s="71">
        <f t="shared" si="1"/>
        <v>-9594.349776451</v>
      </c>
      <c r="BF12" s="71">
        <f t="shared" si="1"/>
        <v>-2714.1299999999997</v>
      </c>
    </row>
    <row r="13" spans="1:58" ht="15" customHeight="1" hidden="1">
      <c r="A13" s="8" t="s">
        <v>42</v>
      </c>
      <c r="B13" s="149"/>
      <c r="C13" s="150"/>
      <c r="D13" s="150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2"/>
      <c r="P13" s="153"/>
      <c r="Q13" s="154"/>
      <c r="R13" s="154"/>
      <c r="S13" s="154"/>
      <c r="T13" s="154"/>
      <c r="U13" s="155"/>
      <c r="V13" s="155"/>
      <c r="W13" s="155"/>
      <c r="X13" s="155"/>
      <c r="Y13" s="155"/>
      <c r="Z13" s="155"/>
      <c r="AA13" s="156"/>
      <c r="AB13" s="156"/>
      <c r="AC13" s="104"/>
      <c r="AD13" s="105"/>
      <c r="AE13" s="105"/>
      <c r="AF13" s="54"/>
      <c r="AG13" s="54"/>
      <c r="AH13" s="54"/>
      <c r="AI13" s="54"/>
      <c r="AJ13" s="54"/>
      <c r="AK13" s="54"/>
      <c r="AL13" s="54"/>
      <c r="AM13" s="54"/>
      <c r="AN13" s="69"/>
      <c r="AO13" s="69"/>
      <c r="AP13" s="69"/>
      <c r="AQ13" s="192"/>
      <c r="AR13" s="193"/>
      <c r="AS13" s="98"/>
      <c r="AT13" s="98"/>
      <c r="AU13" s="157"/>
      <c r="AV13" s="54"/>
      <c r="AW13" s="54"/>
      <c r="AX13" s="55"/>
      <c r="AY13" s="1"/>
      <c r="AZ13" s="1"/>
      <c r="BA13" s="1"/>
      <c r="BB13" s="1"/>
      <c r="BC13" s="1"/>
      <c r="BD13" s="1"/>
      <c r="BE13" s="1"/>
      <c r="BF13" s="158"/>
    </row>
    <row r="14" spans="1:58" ht="12.75" hidden="1">
      <c r="A14" s="14" t="s">
        <v>43</v>
      </c>
      <c r="B14" s="159">
        <v>631.7</v>
      </c>
      <c r="C14" s="130">
        <f aca="true" t="shared" si="2" ref="C14:C22">B14*8.65</f>
        <v>5464.205000000001</v>
      </c>
      <c r="D14" s="137">
        <f>C14*0.125</f>
        <v>683.0256250000001</v>
      </c>
      <c r="E14" s="16">
        <v>219.28</v>
      </c>
      <c r="F14" s="16">
        <v>39.1</v>
      </c>
      <c r="G14" s="16">
        <v>296.03</v>
      </c>
      <c r="H14" s="16">
        <v>52.79</v>
      </c>
      <c r="I14" s="16">
        <v>713.49</v>
      </c>
      <c r="J14" s="16">
        <v>127.09</v>
      </c>
      <c r="K14" s="16">
        <v>493.36</v>
      </c>
      <c r="L14" s="16">
        <v>87.99</v>
      </c>
      <c r="M14" s="138">
        <v>175.41</v>
      </c>
      <c r="N14" s="207">
        <v>31.28</v>
      </c>
      <c r="O14" s="79">
        <v>0</v>
      </c>
      <c r="P14" s="79">
        <v>0</v>
      </c>
      <c r="Q14" s="79">
        <v>0</v>
      </c>
      <c r="R14" s="79">
        <v>0</v>
      </c>
      <c r="S14" s="16">
        <f aca="true" t="shared" si="3" ref="S14:S22">E14+G14+I14+K14+M14+O14+Q14</f>
        <v>1897.57</v>
      </c>
      <c r="T14" s="139">
        <f aca="true" t="shared" si="4" ref="T14:T22">P14+N14+L14+J14+H14+F14+R14</f>
        <v>338.25000000000006</v>
      </c>
      <c r="U14" s="16">
        <v>166.5</v>
      </c>
      <c r="V14" s="16">
        <v>224.76</v>
      </c>
      <c r="W14" s="16">
        <v>448.08</v>
      </c>
      <c r="X14" s="16">
        <v>374.59</v>
      </c>
      <c r="Y14" s="16">
        <v>133.18</v>
      </c>
      <c r="Z14" s="16">
        <v>0</v>
      </c>
      <c r="AA14" s="79">
        <v>0</v>
      </c>
      <c r="AB14" s="160">
        <f aca="true" t="shared" si="5" ref="AB14:AB22">SUM(U14:AA14)</f>
        <v>1347.11</v>
      </c>
      <c r="AC14" s="148">
        <f aca="true" t="shared" si="6" ref="AC14:AC22">D14+T14+AB14</f>
        <v>2368.385625</v>
      </c>
      <c r="AD14" s="101">
        <f aca="true" t="shared" si="7" ref="AD14:AD22">P14+Z14</f>
        <v>0</v>
      </c>
      <c r="AE14" s="101">
        <f aca="true" t="shared" si="8" ref="AE14:AE22">R14+AA14</f>
        <v>0</v>
      </c>
      <c r="AF14" s="101"/>
      <c r="AG14" s="16">
        <f>0.6*B14*0.9</f>
        <v>341.11800000000005</v>
      </c>
      <c r="AH14" s="16">
        <f>B14*0.2*0.891</f>
        <v>112.56894000000001</v>
      </c>
      <c r="AI14" s="16">
        <f>0.85*B14*0.867-0.02</f>
        <v>465.5113150000001</v>
      </c>
      <c r="AJ14" s="16">
        <f aca="true" t="shared" si="9" ref="AJ14:AJ22">AI14*0.18</f>
        <v>83.79203670000001</v>
      </c>
      <c r="AK14" s="16">
        <f>0.83*B14*0.8685</f>
        <v>455.36410350000006</v>
      </c>
      <c r="AL14" s="16">
        <f aca="true" t="shared" si="10" ref="AL14:AL22">AK14*0.18</f>
        <v>81.96553863000001</v>
      </c>
      <c r="AM14" s="16">
        <f>1.91*B14*0.8686</f>
        <v>1048.0067242</v>
      </c>
      <c r="AN14" s="16">
        <f aca="true" t="shared" si="11" ref="AN14:AN22">AM14*0.18</f>
        <v>188.641210356</v>
      </c>
      <c r="AO14" s="16"/>
      <c r="AP14" s="16">
        <f aca="true" t="shared" si="12" ref="AP14:AR22">AO14*0.18</f>
        <v>0</v>
      </c>
      <c r="AQ14" s="161"/>
      <c r="AR14" s="161">
        <f>AQ14*0.18</f>
        <v>0</v>
      </c>
      <c r="AS14" s="25">
        <v>9700</v>
      </c>
      <c r="AT14" s="25"/>
      <c r="AU14" s="25">
        <f>(AS14+AT14)*0.18+0.01</f>
        <v>1746.01</v>
      </c>
      <c r="AV14" s="142">
        <v>508</v>
      </c>
      <c r="AW14" s="143">
        <v>0.3</v>
      </c>
      <c r="AX14" s="16">
        <f aca="true" t="shared" si="13" ref="AX14:AX22">AV14*AW14*1.12*1.18</f>
        <v>201.41184</v>
      </c>
      <c r="AY14" s="144"/>
      <c r="AZ14" s="79"/>
      <c r="BA14" s="79">
        <f>AZ14*0.18</f>
        <v>0</v>
      </c>
      <c r="BB14" s="79">
        <f aca="true" t="shared" si="14" ref="BB14:BB22">SUM(AG14:BA14)-AV14-AW14</f>
        <v>14424.389708386001</v>
      </c>
      <c r="BC14" s="162"/>
      <c r="BD14" s="220">
        <f aca="true" t="shared" si="15" ref="BD14:BD25">BB14-(AF14-BC14)</f>
        <v>14424.389708386001</v>
      </c>
      <c r="BE14" s="145">
        <f aca="true" t="shared" si="16" ref="BE14:BE24">(AC14-BB14)+(AF14-BC14)</f>
        <v>-12056.004083386</v>
      </c>
      <c r="BF14" s="145">
        <f aca="true" t="shared" si="17" ref="BF14:BF24">AB14-S14</f>
        <v>-550.46</v>
      </c>
    </row>
    <row r="15" spans="1:58" ht="12.75" hidden="1">
      <c r="A15" s="14" t="s">
        <v>44</v>
      </c>
      <c r="B15" s="159">
        <v>631.7</v>
      </c>
      <c r="C15" s="130">
        <f t="shared" si="2"/>
        <v>5464.205000000001</v>
      </c>
      <c r="D15" s="137">
        <f>C15*0.125</f>
        <v>683.0256250000001</v>
      </c>
      <c r="E15" s="16">
        <v>220.07</v>
      </c>
      <c r="F15" s="16">
        <v>39.1</v>
      </c>
      <c r="G15" s="16">
        <v>297.09</v>
      </c>
      <c r="H15" s="16">
        <v>52.79</v>
      </c>
      <c r="I15" s="16">
        <v>715.21</v>
      </c>
      <c r="J15" s="16">
        <v>127.09</v>
      </c>
      <c r="K15" s="16">
        <v>495.14</v>
      </c>
      <c r="L15" s="16">
        <v>87.99</v>
      </c>
      <c r="M15" s="138">
        <v>176.05</v>
      </c>
      <c r="N15" s="207">
        <v>31.28</v>
      </c>
      <c r="O15" s="79">
        <v>0</v>
      </c>
      <c r="P15" s="79">
        <v>0</v>
      </c>
      <c r="Q15" s="79">
        <v>0</v>
      </c>
      <c r="R15" s="79">
        <v>0</v>
      </c>
      <c r="S15" s="16">
        <f t="shared" si="3"/>
        <v>1903.5599999999997</v>
      </c>
      <c r="T15" s="139">
        <f t="shared" si="4"/>
        <v>338.25000000000006</v>
      </c>
      <c r="U15" s="16">
        <v>135.95</v>
      </c>
      <c r="V15" s="16">
        <v>183.53</v>
      </c>
      <c r="W15" s="16">
        <v>413.1</v>
      </c>
      <c r="X15" s="16">
        <v>305.87</v>
      </c>
      <c r="Y15" s="16">
        <v>108.77</v>
      </c>
      <c r="Z15" s="16">
        <v>0</v>
      </c>
      <c r="AA15" s="79">
        <v>0</v>
      </c>
      <c r="AB15" s="18">
        <f t="shared" si="5"/>
        <v>1147.22</v>
      </c>
      <c r="AC15" s="148">
        <f t="shared" si="6"/>
        <v>2168.4956250000005</v>
      </c>
      <c r="AD15" s="101">
        <f t="shared" si="7"/>
        <v>0</v>
      </c>
      <c r="AE15" s="101">
        <f t="shared" si="8"/>
        <v>0</v>
      </c>
      <c r="AF15" s="101"/>
      <c r="AG15" s="16">
        <f>0.6*B15*0.9</f>
        <v>341.11800000000005</v>
      </c>
      <c r="AH15" s="16">
        <f>B15*0.2*0.9153</f>
        <v>115.63900200000002</v>
      </c>
      <c r="AI15" s="16">
        <f>0.85*B15*0.867</f>
        <v>465.53131500000006</v>
      </c>
      <c r="AJ15" s="16">
        <f t="shared" si="9"/>
        <v>83.7956367</v>
      </c>
      <c r="AK15" s="16">
        <f>0.83*B15*0.8684</f>
        <v>455.3116724</v>
      </c>
      <c r="AL15" s="16">
        <f t="shared" si="10"/>
        <v>81.956101032</v>
      </c>
      <c r="AM15" s="16">
        <f>(1.91)*B15*0.8684</f>
        <v>1047.7654148</v>
      </c>
      <c r="AN15" s="16">
        <f t="shared" si="11"/>
        <v>188.59777466399999</v>
      </c>
      <c r="AO15" s="16"/>
      <c r="AP15" s="16">
        <f t="shared" si="12"/>
        <v>0</v>
      </c>
      <c r="AQ15" s="161"/>
      <c r="AR15" s="161">
        <f>AQ15*0.18</f>
        <v>0</v>
      </c>
      <c r="AS15" s="25">
        <v>325</v>
      </c>
      <c r="AT15" s="25"/>
      <c r="AU15" s="25">
        <f aca="true" t="shared" si="18" ref="AU15:AU22">(AS15+AT15)*0.18</f>
        <v>58.5</v>
      </c>
      <c r="AV15" s="142">
        <v>407</v>
      </c>
      <c r="AW15" s="143">
        <v>0.3</v>
      </c>
      <c r="AX15" s="16">
        <f t="shared" si="13"/>
        <v>161.36736</v>
      </c>
      <c r="AY15" s="144"/>
      <c r="AZ15" s="79"/>
      <c r="BA15" s="79">
        <f>AZ15*0.18</f>
        <v>0</v>
      </c>
      <c r="BB15" s="79">
        <f t="shared" si="14"/>
        <v>3324.5822765960006</v>
      </c>
      <c r="BC15" s="164"/>
      <c r="BD15" s="220">
        <f t="shared" si="15"/>
        <v>3324.5822765960006</v>
      </c>
      <c r="BE15" s="145">
        <f t="shared" si="16"/>
        <v>-1156.0866515960001</v>
      </c>
      <c r="BF15" s="145">
        <f t="shared" si="17"/>
        <v>-756.3399999999997</v>
      </c>
    </row>
    <row r="16" spans="1:58" ht="13.5" hidden="1" thickBot="1">
      <c r="A16" s="171" t="s">
        <v>45</v>
      </c>
      <c r="B16" s="172">
        <v>631.7</v>
      </c>
      <c r="C16" s="173">
        <f t="shared" si="2"/>
        <v>5464.205000000001</v>
      </c>
      <c r="D16" s="174">
        <f>C16*0.125</f>
        <v>683.0256250000001</v>
      </c>
      <c r="E16" s="99">
        <v>220.07</v>
      </c>
      <c r="F16" s="99">
        <v>39.1</v>
      </c>
      <c r="G16" s="99">
        <v>297.09</v>
      </c>
      <c r="H16" s="99">
        <v>52.79</v>
      </c>
      <c r="I16" s="99">
        <v>715.21</v>
      </c>
      <c r="J16" s="99">
        <v>127.09</v>
      </c>
      <c r="K16" s="99">
        <v>495.14</v>
      </c>
      <c r="L16" s="99">
        <v>87.99</v>
      </c>
      <c r="M16" s="175">
        <v>176.05</v>
      </c>
      <c r="N16" s="208">
        <v>31.28</v>
      </c>
      <c r="O16" s="167">
        <v>0</v>
      </c>
      <c r="P16" s="167">
        <v>0</v>
      </c>
      <c r="Q16" s="167">
        <v>0</v>
      </c>
      <c r="R16" s="167">
        <v>0</v>
      </c>
      <c r="S16" s="99">
        <f t="shared" si="3"/>
        <v>1903.5599999999997</v>
      </c>
      <c r="T16" s="176">
        <f t="shared" si="4"/>
        <v>338.25000000000006</v>
      </c>
      <c r="U16" s="168">
        <v>178.96</v>
      </c>
      <c r="V16" s="168">
        <v>241.58</v>
      </c>
      <c r="W16" s="168">
        <v>581.59</v>
      </c>
      <c r="X16" s="168">
        <v>402.66</v>
      </c>
      <c r="Y16" s="168">
        <v>143.16</v>
      </c>
      <c r="Z16" s="168">
        <v>0</v>
      </c>
      <c r="AA16" s="177">
        <v>0</v>
      </c>
      <c r="AB16" s="178">
        <f t="shared" si="5"/>
        <v>1547.9500000000003</v>
      </c>
      <c r="AC16" s="179">
        <f t="shared" si="6"/>
        <v>2569.2256250000005</v>
      </c>
      <c r="AD16" s="103">
        <f t="shared" si="7"/>
        <v>0</v>
      </c>
      <c r="AE16" s="103">
        <f t="shared" si="8"/>
        <v>0</v>
      </c>
      <c r="AF16" s="103"/>
      <c r="AG16" s="99">
        <f>0.6*B16*0.9</f>
        <v>341.11800000000005</v>
      </c>
      <c r="AH16" s="168">
        <f>B16*0.2*0.9082</f>
        <v>114.74198800000002</v>
      </c>
      <c r="AI16" s="99">
        <f>0.85*B16*0.8675</f>
        <v>465.7997875000001</v>
      </c>
      <c r="AJ16" s="99">
        <f t="shared" si="9"/>
        <v>83.84396175000002</v>
      </c>
      <c r="AK16" s="168">
        <f>0.83*B16*0.838</f>
        <v>439.372618</v>
      </c>
      <c r="AL16" s="99">
        <f t="shared" si="10"/>
        <v>79.08707124</v>
      </c>
      <c r="AM16" s="99">
        <f>1.91*B16*0.8381</f>
        <v>1011.2070407</v>
      </c>
      <c r="AN16" s="99">
        <f t="shared" si="11"/>
        <v>182.017267326</v>
      </c>
      <c r="AO16" s="99"/>
      <c r="AP16" s="99">
        <f t="shared" si="12"/>
        <v>0</v>
      </c>
      <c r="AQ16" s="180"/>
      <c r="AR16" s="180">
        <f>AQ16*0.18</f>
        <v>0</v>
      </c>
      <c r="AS16" s="165"/>
      <c r="AT16" s="165"/>
      <c r="AU16" s="165">
        <f t="shared" si="18"/>
        <v>0</v>
      </c>
      <c r="AV16" s="181">
        <v>383</v>
      </c>
      <c r="AW16" s="182">
        <v>0.3</v>
      </c>
      <c r="AX16" s="99">
        <f t="shared" si="13"/>
        <v>151.85184</v>
      </c>
      <c r="AY16" s="183"/>
      <c r="AZ16" s="167"/>
      <c r="BA16" s="167">
        <f>AZ16*0.18</f>
        <v>0</v>
      </c>
      <c r="BB16" s="99">
        <f t="shared" si="14"/>
        <v>2869.039574516</v>
      </c>
      <c r="BC16" s="184"/>
      <c r="BD16" s="221">
        <f t="shared" si="15"/>
        <v>2869.039574516</v>
      </c>
      <c r="BE16" s="185">
        <f t="shared" si="16"/>
        <v>-299.8139495159994</v>
      </c>
      <c r="BF16" s="185">
        <f t="shared" si="17"/>
        <v>-355.60999999999945</v>
      </c>
    </row>
    <row r="17" spans="1:58" ht="12.75" hidden="1">
      <c r="A17" s="170" t="s">
        <v>46</v>
      </c>
      <c r="B17" s="186">
        <v>631.7</v>
      </c>
      <c r="C17" s="130">
        <f t="shared" si="2"/>
        <v>5464.205000000001</v>
      </c>
      <c r="D17" s="137">
        <f>C17*0.125</f>
        <v>683.0256250000001</v>
      </c>
      <c r="E17" s="80">
        <v>220.07</v>
      </c>
      <c r="F17" s="80">
        <v>39.1</v>
      </c>
      <c r="G17" s="80">
        <v>297.09</v>
      </c>
      <c r="H17" s="80">
        <v>52.79</v>
      </c>
      <c r="I17" s="80">
        <v>715.21</v>
      </c>
      <c r="J17" s="80">
        <v>127.09</v>
      </c>
      <c r="K17" s="80">
        <v>495.14</v>
      </c>
      <c r="L17" s="80">
        <v>87.99</v>
      </c>
      <c r="M17" s="187">
        <v>176.05</v>
      </c>
      <c r="N17" s="209">
        <v>31.28</v>
      </c>
      <c r="O17" s="81">
        <v>0</v>
      </c>
      <c r="P17" s="81">
        <v>0</v>
      </c>
      <c r="Q17" s="81">
        <v>0</v>
      </c>
      <c r="R17" s="81">
        <v>0</v>
      </c>
      <c r="S17" s="16">
        <f t="shared" si="3"/>
        <v>1903.5599999999997</v>
      </c>
      <c r="T17" s="139">
        <f t="shared" si="4"/>
        <v>338.25000000000006</v>
      </c>
      <c r="U17" s="16">
        <v>179.68</v>
      </c>
      <c r="V17" s="16">
        <v>242.59</v>
      </c>
      <c r="W17" s="16">
        <v>583.97</v>
      </c>
      <c r="X17" s="16">
        <v>404.28</v>
      </c>
      <c r="Y17" s="16">
        <v>143.76</v>
      </c>
      <c r="Z17" s="16">
        <v>0</v>
      </c>
      <c r="AA17" s="16">
        <v>0</v>
      </c>
      <c r="AB17" s="160">
        <f t="shared" si="5"/>
        <v>1554.28</v>
      </c>
      <c r="AC17" s="148">
        <f t="shared" si="6"/>
        <v>2575.555625</v>
      </c>
      <c r="AD17" s="101">
        <f t="shared" si="7"/>
        <v>0</v>
      </c>
      <c r="AE17" s="101">
        <f t="shared" si="8"/>
        <v>0</v>
      </c>
      <c r="AF17" s="101"/>
      <c r="AG17" s="16">
        <f>0.6*B17*0.9</f>
        <v>341.11800000000005</v>
      </c>
      <c r="AH17" s="80">
        <f>B17*0.2*0.9234</f>
        <v>116.66235600000002</v>
      </c>
      <c r="AI17" s="16">
        <f>0.85*B17*0.8934</f>
        <v>479.70666300000005</v>
      </c>
      <c r="AJ17" s="16">
        <f t="shared" si="9"/>
        <v>86.34719934</v>
      </c>
      <c r="AK17" s="16">
        <f>0.83*B17*0.8498</f>
        <v>445.55948780000006</v>
      </c>
      <c r="AL17" s="16">
        <f t="shared" si="10"/>
        <v>80.200707804</v>
      </c>
      <c r="AM17" s="16">
        <f>(1.91)*B17*0.8498</f>
        <v>1025.3236406</v>
      </c>
      <c r="AN17" s="16">
        <f t="shared" si="11"/>
        <v>184.558255308</v>
      </c>
      <c r="AO17" s="16"/>
      <c r="AP17" s="16">
        <f t="shared" si="12"/>
        <v>0</v>
      </c>
      <c r="AQ17" s="161"/>
      <c r="AR17" s="161">
        <f t="shared" si="12"/>
        <v>0</v>
      </c>
      <c r="AS17" s="210">
        <v>307</v>
      </c>
      <c r="AT17" s="25"/>
      <c r="AU17" s="25">
        <f t="shared" si="18"/>
        <v>55.26</v>
      </c>
      <c r="AV17" s="142">
        <v>307</v>
      </c>
      <c r="AW17" s="143">
        <v>0.3</v>
      </c>
      <c r="AX17" s="16">
        <f t="shared" si="13"/>
        <v>121.71936</v>
      </c>
      <c r="AY17" s="144"/>
      <c r="AZ17" s="79"/>
      <c r="BA17" s="79">
        <f aca="true" t="shared" si="19" ref="BA17:BA22">AZ17*0.18</f>
        <v>0</v>
      </c>
      <c r="BB17" s="120">
        <f t="shared" si="14"/>
        <v>3243.4556698520005</v>
      </c>
      <c r="BC17" s="164"/>
      <c r="BD17" s="79">
        <f t="shared" si="15"/>
        <v>3243.4556698520005</v>
      </c>
      <c r="BE17" s="222">
        <f t="shared" si="16"/>
        <v>-667.9000448520005</v>
      </c>
      <c r="BF17" s="206">
        <f t="shared" si="17"/>
        <v>-349.27999999999975</v>
      </c>
    </row>
    <row r="18" spans="1:58" ht="12.75" hidden="1">
      <c r="A18" s="14" t="s">
        <v>47</v>
      </c>
      <c r="B18" s="169">
        <v>631.7</v>
      </c>
      <c r="C18" s="130">
        <f t="shared" si="2"/>
        <v>5464.205000000001</v>
      </c>
      <c r="D18" s="188">
        <f aca="true" t="shared" si="20" ref="D18:D25">C18-E18-F18-G18-H18-I18-J18-K18-L18-M18-N18</f>
        <v>2972.9150000000004</v>
      </c>
      <c r="E18" s="80">
        <v>243.54</v>
      </c>
      <c r="F18" s="80">
        <v>44</v>
      </c>
      <c r="G18" s="80">
        <v>329.92</v>
      </c>
      <c r="H18" s="80">
        <v>59.64</v>
      </c>
      <c r="I18" s="80">
        <v>792.66</v>
      </c>
      <c r="J18" s="80">
        <v>143.19</v>
      </c>
      <c r="K18" s="80">
        <v>549.1</v>
      </c>
      <c r="L18" s="80">
        <v>99.23</v>
      </c>
      <c r="M18" s="187">
        <v>194.82</v>
      </c>
      <c r="N18" s="209">
        <v>35.19</v>
      </c>
      <c r="O18" s="81">
        <v>0</v>
      </c>
      <c r="P18" s="81">
        <v>0</v>
      </c>
      <c r="Q18" s="81">
        <v>0</v>
      </c>
      <c r="R18" s="81">
        <v>0</v>
      </c>
      <c r="S18" s="16">
        <f t="shared" si="3"/>
        <v>2110.04</v>
      </c>
      <c r="T18" s="139">
        <f t="shared" si="4"/>
        <v>381.25</v>
      </c>
      <c r="U18" s="80">
        <v>332.7</v>
      </c>
      <c r="V18" s="80">
        <v>449.11</v>
      </c>
      <c r="W18" s="80">
        <v>1078.91</v>
      </c>
      <c r="X18" s="80">
        <v>748.5</v>
      </c>
      <c r="Y18" s="80">
        <v>266.1</v>
      </c>
      <c r="Z18" s="80">
        <v>0</v>
      </c>
      <c r="AA18" s="81">
        <v>0</v>
      </c>
      <c r="AB18" s="160">
        <f t="shared" si="5"/>
        <v>2875.32</v>
      </c>
      <c r="AC18" s="148">
        <f t="shared" si="6"/>
        <v>6229.485000000001</v>
      </c>
      <c r="AD18" s="101">
        <f t="shared" si="7"/>
        <v>0</v>
      </c>
      <c r="AE18" s="101">
        <f t="shared" si="8"/>
        <v>0</v>
      </c>
      <c r="AF18" s="101"/>
      <c r="AG18" s="16">
        <f aca="true" t="shared" si="21" ref="AG18:AG25">0.6*B18</f>
        <v>379.02000000000004</v>
      </c>
      <c r="AH18" s="16">
        <f>B18*0.2*1.01</f>
        <v>127.60340000000002</v>
      </c>
      <c r="AI18" s="16">
        <f>0.85*B18</f>
        <v>536.945</v>
      </c>
      <c r="AJ18" s="16">
        <f t="shared" si="9"/>
        <v>96.65010000000001</v>
      </c>
      <c r="AK18" s="16">
        <f>0.83*B18</f>
        <v>524.311</v>
      </c>
      <c r="AL18" s="16">
        <f t="shared" si="10"/>
        <v>94.37598</v>
      </c>
      <c r="AM18" s="16">
        <f>(1.91)*B18</f>
        <v>1206.547</v>
      </c>
      <c r="AN18" s="16">
        <f t="shared" si="11"/>
        <v>217.17846</v>
      </c>
      <c r="AO18" s="16"/>
      <c r="AP18" s="16">
        <f t="shared" si="12"/>
        <v>0</v>
      </c>
      <c r="AQ18" s="161"/>
      <c r="AR18" s="161">
        <f t="shared" si="12"/>
        <v>0</v>
      </c>
      <c r="AS18" s="25"/>
      <c r="AT18" s="25"/>
      <c r="AU18" s="25">
        <f t="shared" si="18"/>
        <v>0</v>
      </c>
      <c r="AV18" s="142">
        <v>263</v>
      </c>
      <c r="AW18" s="143">
        <v>0.3</v>
      </c>
      <c r="AX18" s="16">
        <f t="shared" si="13"/>
        <v>104.27423999999999</v>
      </c>
      <c r="AY18" s="144"/>
      <c r="AZ18" s="79"/>
      <c r="BA18" s="79">
        <f t="shared" si="19"/>
        <v>0</v>
      </c>
      <c r="BB18" s="79">
        <f t="shared" si="14"/>
        <v>3286.90518</v>
      </c>
      <c r="BC18" s="164"/>
      <c r="BD18" s="18">
        <f t="shared" si="15"/>
        <v>3286.90518</v>
      </c>
      <c r="BE18" s="145">
        <f t="shared" si="16"/>
        <v>2942.5798200000004</v>
      </c>
      <c r="BF18" s="145">
        <f t="shared" si="17"/>
        <v>765.2800000000002</v>
      </c>
    </row>
    <row r="19" spans="1:58" ht="13.5" hidden="1" thickBot="1">
      <c r="A19" s="171" t="s">
        <v>48</v>
      </c>
      <c r="B19" s="172">
        <v>631.7</v>
      </c>
      <c r="C19" s="173">
        <f t="shared" si="2"/>
        <v>5464.205000000001</v>
      </c>
      <c r="D19" s="174">
        <f t="shared" si="20"/>
        <v>2972.9150000000004</v>
      </c>
      <c r="E19" s="168">
        <v>243.54</v>
      </c>
      <c r="F19" s="168">
        <v>44</v>
      </c>
      <c r="G19" s="168">
        <v>329.92</v>
      </c>
      <c r="H19" s="168">
        <v>59.64</v>
      </c>
      <c r="I19" s="168">
        <v>792.66</v>
      </c>
      <c r="J19" s="168">
        <v>143.19</v>
      </c>
      <c r="K19" s="168">
        <v>549.1</v>
      </c>
      <c r="L19" s="168">
        <v>99.23</v>
      </c>
      <c r="M19" s="189">
        <v>194.82</v>
      </c>
      <c r="N19" s="211">
        <v>35.19</v>
      </c>
      <c r="O19" s="177">
        <v>0</v>
      </c>
      <c r="P19" s="177">
        <v>0</v>
      </c>
      <c r="Q19" s="177">
        <v>0</v>
      </c>
      <c r="R19" s="177">
        <v>0</v>
      </c>
      <c r="S19" s="99">
        <f t="shared" si="3"/>
        <v>2110.04</v>
      </c>
      <c r="T19" s="176">
        <f t="shared" si="4"/>
        <v>381.25</v>
      </c>
      <c r="U19" s="168">
        <v>171.56</v>
      </c>
      <c r="V19" s="168">
        <v>232.27</v>
      </c>
      <c r="W19" s="168">
        <v>558.22</v>
      </c>
      <c r="X19" s="168">
        <v>386.63</v>
      </c>
      <c r="Y19" s="168">
        <v>137.26</v>
      </c>
      <c r="Z19" s="168">
        <v>0</v>
      </c>
      <c r="AA19" s="177">
        <v>0</v>
      </c>
      <c r="AB19" s="178">
        <f t="shared" si="5"/>
        <v>1485.94</v>
      </c>
      <c r="AC19" s="179">
        <f t="shared" si="6"/>
        <v>4840.1050000000005</v>
      </c>
      <c r="AD19" s="103">
        <f t="shared" si="7"/>
        <v>0</v>
      </c>
      <c r="AE19" s="103">
        <f t="shared" si="8"/>
        <v>0</v>
      </c>
      <c r="AF19" s="103"/>
      <c r="AG19" s="99">
        <f t="shared" si="21"/>
        <v>379.02000000000004</v>
      </c>
      <c r="AH19" s="99">
        <f>B19*0.2*1.01045</f>
        <v>127.66025300000003</v>
      </c>
      <c r="AI19" s="99">
        <f>0.85*B19</f>
        <v>536.945</v>
      </c>
      <c r="AJ19" s="99">
        <f t="shared" si="9"/>
        <v>96.65010000000001</v>
      </c>
      <c r="AK19" s="99">
        <f>0.83*B19</f>
        <v>524.311</v>
      </c>
      <c r="AL19" s="99">
        <f t="shared" si="10"/>
        <v>94.37598</v>
      </c>
      <c r="AM19" s="99">
        <f>(1.91)*B19</f>
        <v>1206.547</v>
      </c>
      <c r="AN19" s="99">
        <f t="shared" si="11"/>
        <v>217.17846</v>
      </c>
      <c r="AO19" s="99"/>
      <c r="AP19" s="99">
        <f t="shared" si="12"/>
        <v>0</v>
      </c>
      <c r="AQ19" s="180"/>
      <c r="AR19" s="180">
        <f t="shared" si="12"/>
        <v>0</v>
      </c>
      <c r="AS19" s="165"/>
      <c r="AT19" s="165"/>
      <c r="AU19" s="165">
        <f t="shared" si="18"/>
        <v>0</v>
      </c>
      <c r="AV19" s="181">
        <v>233</v>
      </c>
      <c r="AW19" s="182">
        <v>0.3</v>
      </c>
      <c r="AX19" s="99">
        <f t="shared" si="13"/>
        <v>92.37983999999999</v>
      </c>
      <c r="AY19" s="183"/>
      <c r="AZ19" s="167"/>
      <c r="BA19" s="167">
        <f t="shared" si="19"/>
        <v>0</v>
      </c>
      <c r="BB19" s="167">
        <f t="shared" si="14"/>
        <v>3275.067633</v>
      </c>
      <c r="BC19" s="184"/>
      <c r="BD19" s="100">
        <f t="shared" si="15"/>
        <v>3275.067633</v>
      </c>
      <c r="BE19" s="223">
        <f t="shared" si="16"/>
        <v>1565.0373670000004</v>
      </c>
      <c r="BF19" s="212">
        <f t="shared" si="17"/>
        <v>-624.0999999999999</v>
      </c>
    </row>
    <row r="20" spans="1:58" ht="12.75" hidden="1">
      <c r="A20" s="170" t="s">
        <v>49</v>
      </c>
      <c r="B20" s="159">
        <v>631.7</v>
      </c>
      <c r="C20" s="130">
        <f t="shared" si="2"/>
        <v>5464.205000000001</v>
      </c>
      <c r="D20" s="188">
        <f t="shared" si="20"/>
        <v>2972.9150000000004</v>
      </c>
      <c r="E20" s="80">
        <v>243.54</v>
      </c>
      <c r="F20" s="80">
        <v>44</v>
      </c>
      <c r="G20" s="80">
        <v>329.92</v>
      </c>
      <c r="H20" s="80">
        <v>59.64</v>
      </c>
      <c r="I20" s="80">
        <v>792.66</v>
      </c>
      <c r="J20" s="80">
        <v>143.19</v>
      </c>
      <c r="K20" s="80">
        <v>549.1</v>
      </c>
      <c r="L20" s="80">
        <v>99.23</v>
      </c>
      <c r="M20" s="187">
        <v>194.82</v>
      </c>
      <c r="N20" s="209">
        <v>35.19</v>
      </c>
      <c r="O20" s="81">
        <v>0</v>
      </c>
      <c r="P20" s="81">
        <v>0</v>
      </c>
      <c r="Q20" s="81">
        <v>0</v>
      </c>
      <c r="R20" s="81">
        <v>0</v>
      </c>
      <c r="S20" s="16">
        <f t="shared" si="3"/>
        <v>2110.04</v>
      </c>
      <c r="T20" s="139">
        <f t="shared" si="4"/>
        <v>381.25</v>
      </c>
      <c r="U20" s="80">
        <v>279.12</v>
      </c>
      <c r="V20" s="80">
        <v>378.01</v>
      </c>
      <c r="W20" s="80">
        <v>908.35</v>
      </c>
      <c r="X20" s="80">
        <v>629.27</v>
      </c>
      <c r="Y20" s="80">
        <v>223.27</v>
      </c>
      <c r="Z20" s="80">
        <v>0</v>
      </c>
      <c r="AA20" s="81">
        <v>0</v>
      </c>
      <c r="AB20" s="160">
        <f t="shared" si="5"/>
        <v>2418.02</v>
      </c>
      <c r="AC20" s="148">
        <f t="shared" si="6"/>
        <v>5772.185</v>
      </c>
      <c r="AD20" s="101">
        <f t="shared" si="7"/>
        <v>0</v>
      </c>
      <c r="AE20" s="101">
        <f t="shared" si="8"/>
        <v>0</v>
      </c>
      <c r="AF20" s="101"/>
      <c r="AG20" s="16">
        <f t="shared" si="21"/>
        <v>379.02000000000004</v>
      </c>
      <c r="AH20" s="16">
        <f>B20*0.2*0.99426</f>
        <v>125.61480840000002</v>
      </c>
      <c r="AI20" s="16">
        <f>0.85*B20*0.9857</f>
        <v>529.2666865000001</v>
      </c>
      <c r="AJ20" s="16">
        <f t="shared" si="9"/>
        <v>95.26800357000002</v>
      </c>
      <c r="AK20" s="16">
        <f>0.83*B20*0.9905</f>
        <v>519.3300455000001</v>
      </c>
      <c r="AL20" s="16">
        <f t="shared" si="10"/>
        <v>93.47940819000002</v>
      </c>
      <c r="AM20" s="16">
        <f>(1.91)*B20*0.9905</f>
        <v>1195.0848035000001</v>
      </c>
      <c r="AN20" s="16">
        <f t="shared" si="11"/>
        <v>215.11526463</v>
      </c>
      <c r="AO20" s="16"/>
      <c r="AP20" s="16">
        <f t="shared" si="12"/>
        <v>0</v>
      </c>
      <c r="AQ20" s="161"/>
      <c r="AR20" s="161">
        <f t="shared" si="12"/>
        <v>0</v>
      </c>
      <c r="AS20" s="25"/>
      <c r="AT20" s="25"/>
      <c r="AU20" s="25">
        <f t="shared" si="18"/>
        <v>0</v>
      </c>
      <c r="AV20" s="142">
        <v>248</v>
      </c>
      <c r="AW20" s="143">
        <v>0.3</v>
      </c>
      <c r="AX20" s="16">
        <f t="shared" si="13"/>
        <v>98.32704</v>
      </c>
      <c r="AY20" s="144"/>
      <c r="AZ20" s="79"/>
      <c r="BA20" s="79">
        <f t="shared" si="19"/>
        <v>0</v>
      </c>
      <c r="BB20" s="79">
        <f t="shared" si="14"/>
        <v>3250.5060602900007</v>
      </c>
      <c r="BC20" s="164"/>
      <c r="BD20" s="18">
        <f t="shared" si="15"/>
        <v>3250.5060602900007</v>
      </c>
      <c r="BE20" s="145">
        <f t="shared" si="16"/>
        <v>2521.6789397099997</v>
      </c>
      <c r="BF20" s="206">
        <f t="shared" si="17"/>
        <v>307.98</v>
      </c>
    </row>
    <row r="21" spans="1:58" ht="12.75" hidden="1">
      <c r="A21" s="14" t="s">
        <v>50</v>
      </c>
      <c r="B21" s="159">
        <v>631.7</v>
      </c>
      <c r="C21" s="130">
        <f t="shared" si="2"/>
        <v>5464.205000000001</v>
      </c>
      <c r="D21" s="188">
        <f t="shared" si="20"/>
        <v>2972.9150000000004</v>
      </c>
      <c r="E21" s="80">
        <v>243.54</v>
      </c>
      <c r="F21" s="80">
        <v>44</v>
      </c>
      <c r="G21" s="80">
        <v>329.92</v>
      </c>
      <c r="H21" s="80">
        <v>59.64</v>
      </c>
      <c r="I21" s="80">
        <v>792.66</v>
      </c>
      <c r="J21" s="80">
        <v>143.19</v>
      </c>
      <c r="K21" s="80">
        <v>549.1</v>
      </c>
      <c r="L21" s="80">
        <v>99.23</v>
      </c>
      <c r="M21" s="187">
        <v>194.82</v>
      </c>
      <c r="N21" s="209">
        <v>35.19</v>
      </c>
      <c r="O21" s="81">
        <v>0</v>
      </c>
      <c r="P21" s="81">
        <v>0</v>
      </c>
      <c r="Q21" s="80">
        <v>0</v>
      </c>
      <c r="R21" s="80">
        <v>0</v>
      </c>
      <c r="S21" s="16">
        <f t="shared" si="3"/>
        <v>2110.04</v>
      </c>
      <c r="T21" s="139">
        <f t="shared" si="4"/>
        <v>381.25</v>
      </c>
      <c r="U21" s="80">
        <v>225.54</v>
      </c>
      <c r="V21" s="80">
        <v>305.45</v>
      </c>
      <c r="W21" s="80">
        <v>733.99</v>
      </c>
      <c r="X21" s="80">
        <v>508.4</v>
      </c>
      <c r="Y21" s="80">
        <v>180.44</v>
      </c>
      <c r="Z21" s="80">
        <v>0</v>
      </c>
      <c r="AA21" s="81">
        <v>0</v>
      </c>
      <c r="AB21" s="160">
        <f t="shared" si="5"/>
        <v>1953.8200000000002</v>
      </c>
      <c r="AC21" s="148">
        <f t="shared" si="6"/>
        <v>5307.985000000001</v>
      </c>
      <c r="AD21" s="101">
        <f t="shared" si="7"/>
        <v>0</v>
      </c>
      <c r="AE21" s="101">
        <f t="shared" si="8"/>
        <v>0</v>
      </c>
      <c r="AF21" s="101"/>
      <c r="AG21" s="16">
        <f t="shared" si="21"/>
        <v>379.02000000000004</v>
      </c>
      <c r="AH21" s="16">
        <f>B21*0.2*0.99875</f>
        <v>126.18207500000003</v>
      </c>
      <c r="AI21" s="16">
        <f>0.85*B21*0.98526</f>
        <v>529.0304307</v>
      </c>
      <c r="AJ21" s="16">
        <f t="shared" si="9"/>
        <v>95.22547752599999</v>
      </c>
      <c r="AK21" s="16">
        <f>0.83*B21*0.99</f>
        <v>519.06789</v>
      </c>
      <c r="AL21" s="16">
        <f t="shared" si="10"/>
        <v>93.4322202</v>
      </c>
      <c r="AM21" s="16">
        <f>(1.91)*B21*0.99</f>
        <v>1194.48153</v>
      </c>
      <c r="AN21" s="16">
        <f t="shared" si="11"/>
        <v>215.0066754</v>
      </c>
      <c r="AO21" s="16"/>
      <c r="AP21" s="16">
        <f t="shared" si="12"/>
        <v>0</v>
      </c>
      <c r="AQ21" s="161"/>
      <c r="AR21" s="161">
        <f t="shared" si="12"/>
        <v>0</v>
      </c>
      <c r="AS21" s="25"/>
      <c r="AT21" s="25"/>
      <c r="AU21" s="25">
        <f t="shared" si="18"/>
        <v>0</v>
      </c>
      <c r="AV21" s="142">
        <v>293</v>
      </c>
      <c r="AW21" s="143">
        <v>0.3</v>
      </c>
      <c r="AX21" s="16">
        <f t="shared" si="13"/>
        <v>116.16863999999998</v>
      </c>
      <c r="AY21" s="144"/>
      <c r="AZ21" s="79"/>
      <c r="BA21" s="79">
        <f t="shared" si="19"/>
        <v>0</v>
      </c>
      <c r="BB21" s="79">
        <f t="shared" si="14"/>
        <v>3267.614938826</v>
      </c>
      <c r="BC21" s="164"/>
      <c r="BD21" s="18">
        <f t="shared" si="15"/>
        <v>3267.614938826</v>
      </c>
      <c r="BE21" s="145">
        <f t="shared" si="16"/>
        <v>2040.3700611740005</v>
      </c>
      <c r="BF21" s="206">
        <f t="shared" si="17"/>
        <v>-156.2199999999998</v>
      </c>
    </row>
    <row r="22" spans="1:58" ht="13.5" hidden="1" thickBot="1">
      <c r="A22" s="171" t="s">
        <v>51</v>
      </c>
      <c r="B22" s="166">
        <v>631.7</v>
      </c>
      <c r="C22" s="173">
        <f t="shared" si="2"/>
        <v>5464.205000000001</v>
      </c>
      <c r="D22" s="174">
        <f t="shared" si="20"/>
        <v>2976.8550000000005</v>
      </c>
      <c r="E22" s="99">
        <v>243.08</v>
      </c>
      <c r="F22" s="99">
        <v>44</v>
      </c>
      <c r="G22" s="99">
        <v>329.31</v>
      </c>
      <c r="H22" s="99">
        <v>59.64</v>
      </c>
      <c r="I22" s="99">
        <v>791.18</v>
      </c>
      <c r="J22" s="99">
        <v>143.19</v>
      </c>
      <c r="K22" s="99">
        <v>548.08</v>
      </c>
      <c r="L22" s="99">
        <v>99.23</v>
      </c>
      <c r="M22" s="175">
        <v>194.45</v>
      </c>
      <c r="N22" s="208">
        <v>35.19</v>
      </c>
      <c r="O22" s="167">
        <v>0</v>
      </c>
      <c r="P22" s="167">
        <v>0</v>
      </c>
      <c r="Q22" s="167">
        <v>0</v>
      </c>
      <c r="R22" s="167">
        <v>0</v>
      </c>
      <c r="S22" s="99">
        <f t="shared" si="3"/>
        <v>2106.1</v>
      </c>
      <c r="T22" s="176">
        <f t="shared" si="4"/>
        <v>381.25</v>
      </c>
      <c r="U22" s="99">
        <v>213.88</v>
      </c>
      <c r="V22" s="99">
        <v>289.65</v>
      </c>
      <c r="W22" s="99">
        <v>696</v>
      </c>
      <c r="X22" s="99">
        <v>482.06</v>
      </c>
      <c r="Y22" s="99">
        <v>171.07</v>
      </c>
      <c r="Z22" s="99">
        <v>0</v>
      </c>
      <c r="AA22" s="167">
        <v>0</v>
      </c>
      <c r="AB22" s="178">
        <f t="shared" si="5"/>
        <v>1852.6599999999999</v>
      </c>
      <c r="AC22" s="179">
        <f t="shared" si="6"/>
        <v>5210.765</v>
      </c>
      <c r="AD22" s="103">
        <f t="shared" si="7"/>
        <v>0</v>
      </c>
      <c r="AE22" s="103">
        <f t="shared" si="8"/>
        <v>0</v>
      </c>
      <c r="AF22" s="103"/>
      <c r="AG22" s="99">
        <f t="shared" si="21"/>
        <v>379.02000000000004</v>
      </c>
      <c r="AH22" s="99">
        <f>B22*0.2*0.9997</f>
        <v>126.30209800000002</v>
      </c>
      <c r="AI22" s="99">
        <f>0.85*B22*0.98509</f>
        <v>528.9391500500001</v>
      </c>
      <c r="AJ22" s="99">
        <f t="shared" si="9"/>
        <v>95.20904700900002</v>
      </c>
      <c r="AK22" s="99">
        <f>0.83*B22*0.98981</f>
        <v>518.96827091</v>
      </c>
      <c r="AL22" s="99">
        <f t="shared" si="10"/>
        <v>93.4142887638</v>
      </c>
      <c r="AM22" s="99">
        <f>(1.91)*B22*0.9898</f>
        <v>1194.2402206</v>
      </c>
      <c r="AN22" s="99">
        <f t="shared" si="11"/>
        <v>214.96323970799997</v>
      </c>
      <c r="AO22" s="99"/>
      <c r="AP22" s="99">
        <f t="shared" si="12"/>
        <v>0</v>
      </c>
      <c r="AQ22" s="180"/>
      <c r="AR22" s="180">
        <f t="shared" si="12"/>
        <v>0</v>
      </c>
      <c r="AS22" s="165"/>
      <c r="AT22" s="165"/>
      <c r="AU22" s="165">
        <f t="shared" si="18"/>
        <v>0</v>
      </c>
      <c r="AV22" s="181">
        <v>349</v>
      </c>
      <c r="AW22" s="182">
        <v>0.3</v>
      </c>
      <c r="AX22" s="99">
        <f t="shared" si="13"/>
        <v>138.37152</v>
      </c>
      <c r="AY22" s="183"/>
      <c r="AZ22" s="167"/>
      <c r="BA22" s="167">
        <f t="shared" si="19"/>
        <v>0</v>
      </c>
      <c r="BB22" s="167">
        <f t="shared" si="14"/>
        <v>3289.4278350408003</v>
      </c>
      <c r="BC22" s="184"/>
      <c r="BD22" s="100">
        <f t="shared" si="15"/>
        <v>3289.4278350408003</v>
      </c>
      <c r="BE22" s="185">
        <f t="shared" si="16"/>
        <v>1921.3371649592</v>
      </c>
      <c r="BF22" s="212">
        <f t="shared" si="17"/>
        <v>-253.44000000000005</v>
      </c>
    </row>
    <row r="23" spans="1:58" ht="12.75" hidden="1">
      <c r="A23" s="170" t="s">
        <v>39</v>
      </c>
      <c r="B23" s="224">
        <v>631.7</v>
      </c>
      <c r="C23" s="130">
        <f>B23*8.65</f>
        <v>5464.205000000001</v>
      </c>
      <c r="D23" s="137">
        <f t="shared" si="20"/>
        <v>2981.9750000000013</v>
      </c>
      <c r="E23" s="56">
        <v>242.48</v>
      </c>
      <c r="F23" s="54">
        <v>44</v>
      </c>
      <c r="G23" s="54">
        <v>328.53</v>
      </c>
      <c r="H23" s="54">
        <v>59.64</v>
      </c>
      <c r="I23" s="54">
        <v>789.25</v>
      </c>
      <c r="J23" s="54">
        <v>143.19</v>
      </c>
      <c r="K23" s="54">
        <v>546.75</v>
      </c>
      <c r="L23" s="54">
        <v>99.23</v>
      </c>
      <c r="M23" s="54">
        <v>193.97</v>
      </c>
      <c r="N23" s="120">
        <v>35.19</v>
      </c>
      <c r="O23" s="120">
        <v>0</v>
      </c>
      <c r="P23" s="120">
        <v>0</v>
      </c>
      <c r="Q23" s="54">
        <v>0</v>
      </c>
      <c r="R23" s="54">
        <v>0</v>
      </c>
      <c r="S23" s="54">
        <f>E23+G23+I23+K23+M23+O23+Q23</f>
        <v>2100.98</v>
      </c>
      <c r="T23" s="213">
        <f>P23+N23+L23+J23+H23+F23+R23</f>
        <v>381.25</v>
      </c>
      <c r="U23" s="57">
        <f>89.98+84.07</f>
        <v>174.05</v>
      </c>
      <c r="V23" s="54">
        <f>121.88+113.91</f>
        <v>235.79</v>
      </c>
      <c r="W23" s="54">
        <f>292.93+273.65</f>
        <v>566.5799999999999</v>
      </c>
      <c r="X23" s="54">
        <f>202.86+189.6</f>
        <v>392.46000000000004</v>
      </c>
      <c r="Y23" s="54">
        <f>72.01+67.24</f>
        <v>139.25</v>
      </c>
      <c r="Z23" s="120">
        <v>0</v>
      </c>
      <c r="AA23" s="120">
        <v>0</v>
      </c>
      <c r="AB23" s="120">
        <f>SUM(U23:AA23)</f>
        <v>1508.13</v>
      </c>
      <c r="AC23" s="214">
        <f>AB23+T23+D23</f>
        <v>4871.355000000001</v>
      </c>
      <c r="AD23" s="54">
        <f>P23+Z23</f>
        <v>0</v>
      </c>
      <c r="AE23" s="54">
        <f>R23+AA23</f>
        <v>0</v>
      </c>
      <c r="AF23" s="54"/>
      <c r="AG23" s="54">
        <f t="shared" si="21"/>
        <v>379.02000000000004</v>
      </c>
      <c r="AH23" s="54">
        <f>B23*0.2</f>
        <v>126.34000000000002</v>
      </c>
      <c r="AI23" s="54">
        <f>0.847*B23</f>
        <v>535.0499</v>
      </c>
      <c r="AJ23" s="54">
        <f>AI23*0.18</f>
        <v>96.30898199999999</v>
      </c>
      <c r="AK23" s="54">
        <f>0.83*B23</f>
        <v>524.311</v>
      </c>
      <c r="AL23" s="54">
        <f>AK23*0.18</f>
        <v>94.37598</v>
      </c>
      <c r="AM23" s="54">
        <f>(2.25/1.18)*B23</f>
        <v>1204.5127118644068</v>
      </c>
      <c r="AN23" s="54">
        <f>AM23*0.18</f>
        <v>216.8122881355932</v>
      </c>
      <c r="AO23" s="54"/>
      <c r="AP23" s="54">
        <f>AO23*0.18</f>
        <v>0</v>
      </c>
      <c r="AQ23" s="192"/>
      <c r="AR23" s="192">
        <f>AQ23*0.18</f>
        <v>0</v>
      </c>
      <c r="AS23" s="157">
        <v>0</v>
      </c>
      <c r="AT23" s="157"/>
      <c r="AU23" s="157">
        <f>(AS23+AT23)*0.18</f>
        <v>0</v>
      </c>
      <c r="AV23" s="215">
        <v>425</v>
      </c>
      <c r="AW23" s="216">
        <v>0.3</v>
      </c>
      <c r="AX23" s="54">
        <f>AV23*AW23*1.12*1.18</f>
        <v>168.504</v>
      </c>
      <c r="AY23" s="217"/>
      <c r="AZ23" s="120"/>
      <c r="BA23" s="120">
        <f>AZ23*0.18</f>
        <v>0</v>
      </c>
      <c r="BB23" s="120">
        <f>SUM(AG23:AU23)+AX23+AY23+AZ23+BA23</f>
        <v>3345.2348620000002</v>
      </c>
      <c r="BC23" s="219"/>
      <c r="BD23" s="112">
        <f t="shared" si="15"/>
        <v>3345.2348620000002</v>
      </c>
      <c r="BE23" s="218">
        <f t="shared" si="16"/>
        <v>1526.1201380000011</v>
      </c>
      <c r="BF23" s="218">
        <f t="shared" si="17"/>
        <v>-592.8499999999999</v>
      </c>
    </row>
    <row r="24" spans="1:58" ht="12.75" hidden="1">
      <c r="A24" s="14" t="s">
        <v>40</v>
      </c>
      <c r="B24" s="159">
        <v>631.7</v>
      </c>
      <c r="C24" s="129">
        <f>B24*8.65</f>
        <v>5464.205000000001</v>
      </c>
      <c r="D24" s="188">
        <f t="shared" si="20"/>
        <v>2981.9750000000013</v>
      </c>
      <c r="E24" s="16">
        <v>242.48</v>
      </c>
      <c r="F24" s="16">
        <v>44</v>
      </c>
      <c r="G24" s="16">
        <v>328.53</v>
      </c>
      <c r="H24" s="16">
        <v>59.64</v>
      </c>
      <c r="I24" s="16">
        <v>789.25</v>
      </c>
      <c r="J24" s="16">
        <v>143.19</v>
      </c>
      <c r="K24" s="16">
        <v>546.75</v>
      </c>
      <c r="L24" s="16">
        <v>99.23</v>
      </c>
      <c r="M24" s="138">
        <v>193.97</v>
      </c>
      <c r="N24" s="207">
        <v>35.19</v>
      </c>
      <c r="O24" s="79">
        <v>0</v>
      </c>
      <c r="P24" s="79">
        <v>0</v>
      </c>
      <c r="Q24" s="79">
        <v>0</v>
      </c>
      <c r="R24" s="79">
        <v>0</v>
      </c>
      <c r="S24" s="16">
        <f>E24+G24+I24+K24+M24+O24+Q24</f>
        <v>2100.98</v>
      </c>
      <c r="T24" s="139">
        <f>P24+N24+L24+J24+H24+F24+R24</f>
        <v>381.25</v>
      </c>
      <c r="U24" s="16">
        <v>277.4</v>
      </c>
      <c r="V24" s="16">
        <v>375.86</v>
      </c>
      <c r="W24" s="16">
        <v>902.87</v>
      </c>
      <c r="X24" s="16">
        <v>625.56</v>
      </c>
      <c r="Y24" s="16">
        <v>221.93</v>
      </c>
      <c r="Z24" s="16">
        <v>0</v>
      </c>
      <c r="AA24" s="79">
        <v>0</v>
      </c>
      <c r="AB24" s="79">
        <f>SUM(U24:AA24)</f>
        <v>2403.62</v>
      </c>
      <c r="AC24" s="148">
        <f>D24+T24+AB24</f>
        <v>5766.845000000001</v>
      </c>
      <c r="AD24" s="101">
        <f>P24+Z24</f>
        <v>0</v>
      </c>
      <c r="AE24" s="101">
        <f>R24+AA24</f>
        <v>0</v>
      </c>
      <c r="AF24" s="101"/>
      <c r="AG24" s="16">
        <f t="shared" si="21"/>
        <v>379.02000000000004</v>
      </c>
      <c r="AH24" s="16">
        <f>B24*0.2</f>
        <v>126.34000000000002</v>
      </c>
      <c r="AI24" s="16">
        <f>0.85*B24</f>
        <v>536.945</v>
      </c>
      <c r="AJ24" s="16">
        <f>AI24*0.18</f>
        <v>96.65010000000001</v>
      </c>
      <c r="AK24" s="16">
        <f>0.83*B24</f>
        <v>524.311</v>
      </c>
      <c r="AL24" s="16">
        <f>AK24*0.18</f>
        <v>94.37598</v>
      </c>
      <c r="AM24" s="16">
        <f>(1.91)*B24</f>
        <v>1206.547</v>
      </c>
      <c r="AN24" s="16">
        <f>AM24*0.18</f>
        <v>217.17846</v>
      </c>
      <c r="AO24" s="16"/>
      <c r="AP24" s="16">
        <f>AO24*0.18</f>
        <v>0</v>
      </c>
      <c r="AQ24" s="161"/>
      <c r="AR24" s="161">
        <f>AQ24*0.18</f>
        <v>0</v>
      </c>
      <c r="AS24" s="25">
        <v>0</v>
      </c>
      <c r="AT24" s="25"/>
      <c r="AU24" s="25">
        <f>(AS24+AT24)*0.18</f>
        <v>0</v>
      </c>
      <c r="AV24" s="142">
        <v>470</v>
      </c>
      <c r="AW24" s="143">
        <v>0.3</v>
      </c>
      <c r="AX24" s="16">
        <f>AV24*AW24*1.12*1.18</f>
        <v>186.34560000000002</v>
      </c>
      <c r="AY24" s="144"/>
      <c r="AZ24" s="79"/>
      <c r="BA24" s="79">
        <f>AZ24*0.18</f>
        <v>0</v>
      </c>
      <c r="BB24" s="79">
        <f>SUM(AG24:AU24)+AX24+AY24+AZ24+BA24</f>
        <v>3367.7131400000003</v>
      </c>
      <c r="BC24" s="162"/>
      <c r="BD24" s="55">
        <f t="shared" si="15"/>
        <v>3367.7131400000003</v>
      </c>
      <c r="BE24" s="145">
        <f t="shared" si="16"/>
        <v>2399.131860000001</v>
      </c>
      <c r="BF24" s="145">
        <f t="shared" si="17"/>
        <v>302.6399999999999</v>
      </c>
    </row>
    <row r="25" spans="1:58" s="146" customFormat="1" ht="12.75" hidden="1">
      <c r="A25" s="147" t="s">
        <v>41</v>
      </c>
      <c r="B25" s="136">
        <v>631.7</v>
      </c>
      <c r="C25" s="129">
        <f>B25*8.65</f>
        <v>5464.205000000001</v>
      </c>
      <c r="D25" s="188">
        <f t="shared" si="20"/>
        <v>2981.965000000001</v>
      </c>
      <c r="E25" s="16">
        <v>242.48</v>
      </c>
      <c r="F25" s="16">
        <v>44</v>
      </c>
      <c r="G25" s="16">
        <v>328.54</v>
      </c>
      <c r="H25" s="16">
        <v>59.64</v>
      </c>
      <c r="I25" s="16">
        <v>789.24</v>
      </c>
      <c r="J25" s="16">
        <v>143.19</v>
      </c>
      <c r="K25" s="16">
        <v>546.75</v>
      </c>
      <c r="L25" s="16">
        <v>99.23</v>
      </c>
      <c r="M25" s="138">
        <v>193.98</v>
      </c>
      <c r="N25" s="207">
        <v>35.19</v>
      </c>
      <c r="O25" s="79">
        <v>0</v>
      </c>
      <c r="P25" s="79">
        <v>0</v>
      </c>
      <c r="Q25" s="79"/>
      <c r="R25" s="79"/>
      <c r="S25" s="16">
        <f>E25+G25+I25+K25+M25+O25+Q25</f>
        <v>2100.99</v>
      </c>
      <c r="T25" s="139">
        <f>P25+N25+L25+J25+H25+F25+R25</f>
        <v>381.25</v>
      </c>
      <c r="U25" s="16">
        <v>258.26</v>
      </c>
      <c r="V25" s="16">
        <v>349.9</v>
      </c>
      <c r="W25" s="16">
        <v>840.61</v>
      </c>
      <c r="X25" s="16">
        <v>582.28</v>
      </c>
      <c r="Y25" s="16">
        <v>206.53</v>
      </c>
      <c r="Z25" s="16">
        <v>0</v>
      </c>
      <c r="AA25" s="79">
        <v>0</v>
      </c>
      <c r="AB25" s="79">
        <f>SUM(U25:AA25)</f>
        <v>2237.58</v>
      </c>
      <c r="AC25" s="148">
        <f>D25+T25+AB25</f>
        <v>5600.795000000001</v>
      </c>
      <c r="AD25" s="101">
        <f>P25+Z25</f>
        <v>0</v>
      </c>
      <c r="AE25" s="101">
        <f>R25+AA25</f>
        <v>0</v>
      </c>
      <c r="AF25" s="101"/>
      <c r="AG25" s="16">
        <f t="shared" si="21"/>
        <v>379.02000000000004</v>
      </c>
      <c r="AH25" s="16">
        <f>B25*0.2</f>
        <v>126.34000000000002</v>
      </c>
      <c r="AI25" s="16">
        <f>0.85*B25</f>
        <v>536.945</v>
      </c>
      <c r="AJ25" s="16">
        <f>AI25*0.18</f>
        <v>96.65010000000001</v>
      </c>
      <c r="AK25" s="16">
        <f>0.83*B25</f>
        <v>524.311</v>
      </c>
      <c r="AL25" s="16">
        <f>AK25*0.18</f>
        <v>94.37598</v>
      </c>
      <c r="AM25" s="16">
        <f>(1.91)*B25</f>
        <v>1206.547</v>
      </c>
      <c r="AN25" s="16">
        <f>AM25*0.18</f>
        <v>217.17846</v>
      </c>
      <c r="AO25" s="16"/>
      <c r="AP25" s="16">
        <f>AO25*0.18</f>
        <v>0</v>
      </c>
      <c r="AQ25" s="161"/>
      <c r="AR25" s="161">
        <f>AQ25*0.18</f>
        <v>0</v>
      </c>
      <c r="AS25" s="25">
        <v>0</v>
      </c>
      <c r="AT25" s="25"/>
      <c r="AU25" s="25">
        <f>(AS25+AT25)*0.18</f>
        <v>0</v>
      </c>
      <c r="AV25" s="142">
        <v>514</v>
      </c>
      <c r="AW25" s="143">
        <v>0.3</v>
      </c>
      <c r="AX25" s="16">
        <f>AV25*AW25*1.12*1.18</f>
        <v>203.79072</v>
      </c>
      <c r="AY25" s="144"/>
      <c r="AZ25" s="79"/>
      <c r="BA25" s="79">
        <f>AZ25*0.18</f>
        <v>0</v>
      </c>
      <c r="BB25" s="79">
        <f>SUM(AG25:BA25)-AV25-AW25</f>
        <v>3385.15826</v>
      </c>
      <c r="BC25" s="162"/>
      <c r="BD25" s="79">
        <f t="shared" si="15"/>
        <v>3385.15826</v>
      </c>
      <c r="BE25" s="145">
        <f>(AC25-BB25)+(AF25-BC25)</f>
        <v>2215.636740000001</v>
      </c>
      <c r="BF25" s="145">
        <f>AB25-S25</f>
        <v>136.59000000000015</v>
      </c>
    </row>
    <row r="26" spans="1:58" s="24" customFormat="1" ht="12.75" hidden="1">
      <c r="A26" s="19" t="s">
        <v>3</v>
      </c>
      <c r="B26" s="20"/>
      <c r="C26" s="20">
        <f>SUM(C14:C25)</f>
        <v>65570.46</v>
      </c>
      <c r="D26" s="20">
        <f aca="true" t="shared" si="22" ref="D26:BF26">SUM(D14:D25)</f>
        <v>26546.53250000001</v>
      </c>
      <c r="E26" s="20">
        <f t="shared" si="22"/>
        <v>2824.17</v>
      </c>
      <c r="F26" s="20">
        <f t="shared" si="22"/>
        <v>508.4</v>
      </c>
      <c r="G26" s="20">
        <f t="shared" si="22"/>
        <v>3821.8899999999994</v>
      </c>
      <c r="H26" s="20">
        <f t="shared" si="22"/>
        <v>688.28</v>
      </c>
      <c r="I26" s="20">
        <f t="shared" si="22"/>
        <v>9188.679999999998</v>
      </c>
      <c r="J26" s="20">
        <f t="shared" si="22"/>
        <v>1653.8800000000003</v>
      </c>
      <c r="K26" s="20">
        <f t="shared" si="22"/>
        <v>6363.509999999999</v>
      </c>
      <c r="L26" s="20">
        <f t="shared" si="22"/>
        <v>1145.8</v>
      </c>
      <c r="M26" s="20">
        <f t="shared" si="22"/>
        <v>2259.2099999999996</v>
      </c>
      <c r="N26" s="20">
        <f t="shared" si="22"/>
        <v>406.64</v>
      </c>
      <c r="O26" s="20">
        <f t="shared" si="22"/>
        <v>0</v>
      </c>
      <c r="P26" s="20">
        <f t="shared" si="22"/>
        <v>0</v>
      </c>
      <c r="Q26" s="20">
        <f t="shared" si="22"/>
        <v>0</v>
      </c>
      <c r="R26" s="20">
        <f t="shared" si="22"/>
        <v>0</v>
      </c>
      <c r="S26" s="20">
        <f t="shared" si="22"/>
        <v>24457.46</v>
      </c>
      <c r="T26" s="20">
        <f t="shared" si="22"/>
        <v>4403</v>
      </c>
      <c r="U26" s="20">
        <f t="shared" si="22"/>
        <v>2593.6000000000004</v>
      </c>
      <c r="V26" s="20">
        <f t="shared" si="22"/>
        <v>3508.5000000000005</v>
      </c>
      <c r="W26" s="20">
        <f t="shared" si="22"/>
        <v>8312.27</v>
      </c>
      <c r="X26" s="20">
        <f t="shared" si="22"/>
        <v>5842.56</v>
      </c>
      <c r="Y26" s="20">
        <f t="shared" si="22"/>
        <v>2074.7200000000003</v>
      </c>
      <c r="Z26" s="20">
        <f t="shared" si="22"/>
        <v>0</v>
      </c>
      <c r="AA26" s="20">
        <f t="shared" si="22"/>
        <v>0</v>
      </c>
      <c r="AB26" s="20">
        <f t="shared" si="22"/>
        <v>22331.65</v>
      </c>
      <c r="AC26" s="20">
        <f t="shared" si="22"/>
        <v>53281.18250000001</v>
      </c>
      <c r="AD26" s="20">
        <f t="shared" si="22"/>
        <v>0</v>
      </c>
      <c r="AE26" s="20">
        <f t="shared" si="22"/>
        <v>0</v>
      </c>
      <c r="AF26" s="20">
        <f t="shared" si="22"/>
        <v>0</v>
      </c>
      <c r="AG26" s="20">
        <f t="shared" si="22"/>
        <v>4396.6320000000005</v>
      </c>
      <c r="AH26" s="20">
        <f t="shared" si="22"/>
        <v>1471.9949204</v>
      </c>
      <c r="AI26" s="20">
        <f t="shared" si="22"/>
        <v>6146.61524775</v>
      </c>
      <c r="AJ26" s="20">
        <f t="shared" si="22"/>
        <v>1106.3907445950001</v>
      </c>
      <c r="AK26" s="20">
        <f t="shared" si="22"/>
        <v>5974.52908811</v>
      </c>
      <c r="AL26" s="20">
        <f t="shared" si="22"/>
        <v>1075.4152358597999</v>
      </c>
      <c r="AM26" s="20">
        <f t="shared" si="22"/>
        <v>13746.810086264408</v>
      </c>
      <c r="AN26" s="20">
        <f t="shared" si="22"/>
        <v>2474.425815527593</v>
      </c>
      <c r="AO26" s="20">
        <f t="shared" si="22"/>
        <v>0</v>
      </c>
      <c r="AP26" s="20">
        <f t="shared" si="22"/>
        <v>0</v>
      </c>
      <c r="AQ26" s="194">
        <f t="shared" si="22"/>
        <v>0</v>
      </c>
      <c r="AR26" s="194">
        <f t="shared" si="22"/>
        <v>0</v>
      </c>
      <c r="AS26" s="21">
        <f t="shared" si="22"/>
        <v>10332</v>
      </c>
      <c r="AT26" s="21">
        <f t="shared" si="22"/>
        <v>0</v>
      </c>
      <c r="AU26" s="21">
        <f t="shared" si="22"/>
        <v>1859.77</v>
      </c>
      <c r="AV26" s="20">
        <f t="shared" si="22"/>
        <v>4400</v>
      </c>
      <c r="AW26" s="20">
        <f t="shared" si="22"/>
        <v>3.599999999999999</v>
      </c>
      <c r="AX26" s="20">
        <f t="shared" si="22"/>
        <v>1744.512</v>
      </c>
      <c r="AY26" s="20">
        <f t="shared" si="22"/>
        <v>0</v>
      </c>
      <c r="AZ26" s="20">
        <f t="shared" si="22"/>
        <v>0</v>
      </c>
      <c r="BA26" s="20">
        <f t="shared" si="22"/>
        <v>0</v>
      </c>
      <c r="BB26" s="20">
        <f t="shared" si="22"/>
        <v>50329.095138506804</v>
      </c>
      <c r="BC26" s="20">
        <f t="shared" si="22"/>
        <v>0</v>
      </c>
      <c r="BD26" s="20">
        <f t="shared" si="22"/>
        <v>50329.095138506804</v>
      </c>
      <c r="BE26" s="20">
        <f t="shared" si="22"/>
        <v>2952.0873614932048</v>
      </c>
      <c r="BF26" s="190">
        <f t="shared" si="22"/>
        <v>-2125.809999999998</v>
      </c>
    </row>
    <row r="27" spans="1:58" s="24" customFormat="1" ht="12.75" hidden="1">
      <c r="A27" s="19"/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/>
      <c r="V27" s="22"/>
      <c r="W27" s="22"/>
      <c r="X27" s="22"/>
      <c r="Y27" s="22"/>
      <c r="Z27" s="22"/>
      <c r="AA27" s="22"/>
      <c r="AB27" s="22"/>
      <c r="AC27" s="22"/>
      <c r="AD27" s="102"/>
      <c r="AE27" s="10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75"/>
      <c r="AQ27" s="195"/>
      <c r="AR27" s="195"/>
      <c r="AS27" s="75"/>
      <c r="AT27" s="75"/>
      <c r="AU27" s="75"/>
      <c r="AV27" s="23"/>
      <c r="AW27" s="23"/>
      <c r="AX27" s="82"/>
      <c r="AY27" s="53"/>
      <c r="AZ27" s="53"/>
      <c r="BA27" s="53"/>
      <c r="BB27" s="53"/>
      <c r="BC27" s="53"/>
      <c r="BD27" s="53"/>
      <c r="BE27" s="53"/>
      <c r="BF27" s="191"/>
    </row>
    <row r="28" spans="1:58" s="24" customFormat="1" ht="13.5" hidden="1" thickBot="1">
      <c r="A28" s="27" t="s">
        <v>52</v>
      </c>
      <c r="B28" s="28"/>
      <c r="C28" s="28">
        <f>C12+C26</f>
        <v>81963.07500000001</v>
      </c>
      <c r="D28" s="28">
        <f aca="true" t="shared" si="23" ref="D28:BF28">D12+D26</f>
        <v>30492.28957255001</v>
      </c>
      <c r="E28" s="28">
        <f t="shared" si="23"/>
        <v>3484.38</v>
      </c>
      <c r="F28" s="28">
        <f t="shared" si="23"/>
        <v>625.7</v>
      </c>
      <c r="G28" s="28">
        <f t="shared" si="23"/>
        <v>4713.15</v>
      </c>
      <c r="H28" s="28">
        <f t="shared" si="23"/>
        <v>846.65</v>
      </c>
      <c r="I28" s="28">
        <f t="shared" si="23"/>
        <v>11334.309999999998</v>
      </c>
      <c r="J28" s="28">
        <f t="shared" si="23"/>
        <v>2035.1500000000003</v>
      </c>
      <c r="K28" s="28">
        <f t="shared" si="23"/>
        <v>7848.929999999999</v>
      </c>
      <c r="L28" s="28">
        <f t="shared" si="23"/>
        <v>1409.77</v>
      </c>
      <c r="M28" s="28">
        <f t="shared" si="23"/>
        <v>2787.3599999999997</v>
      </c>
      <c r="N28" s="28">
        <f t="shared" si="23"/>
        <v>500.48</v>
      </c>
      <c r="O28" s="28">
        <f t="shared" si="23"/>
        <v>0</v>
      </c>
      <c r="P28" s="28">
        <f t="shared" si="23"/>
        <v>0</v>
      </c>
      <c r="Q28" s="28">
        <f t="shared" si="23"/>
        <v>0</v>
      </c>
      <c r="R28" s="28">
        <f t="shared" si="23"/>
        <v>0</v>
      </c>
      <c r="S28" s="28">
        <f t="shared" si="23"/>
        <v>30168.129999999997</v>
      </c>
      <c r="T28" s="28">
        <f t="shared" si="23"/>
        <v>5417.75</v>
      </c>
      <c r="U28" s="28">
        <f t="shared" si="23"/>
        <v>2925.5800000000004</v>
      </c>
      <c r="V28" s="28">
        <f t="shared" si="23"/>
        <v>3956.6700000000005</v>
      </c>
      <c r="W28" s="28">
        <f t="shared" si="23"/>
        <v>9516.140000000001</v>
      </c>
      <c r="X28" s="28">
        <f t="shared" si="23"/>
        <v>6589.5</v>
      </c>
      <c r="Y28" s="28">
        <f t="shared" si="23"/>
        <v>2340.3</v>
      </c>
      <c r="Z28" s="28">
        <f t="shared" si="23"/>
        <v>0</v>
      </c>
      <c r="AA28" s="28">
        <f t="shared" si="23"/>
        <v>0</v>
      </c>
      <c r="AB28" s="28">
        <f t="shared" si="23"/>
        <v>25328.190000000002</v>
      </c>
      <c r="AC28" s="28">
        <f t="shared" si="23"/>
        <v>61238.229572550015</v>
      </c>
      <c r="AD28" s="28">
        <f t="shared" si="23"/>
        <v>0</v>
      </c>
      <c r="AE28" s="28">
        <f t="shared" si="23"/>
        <v>0</v>
      </c>
      <c r="AF28" s="28">
        <f t="shared" si="23"/>
        <v>0</v>
      </c>
      <c r="AG28" s="28">
        <f t="shared" si="23"/>
        <v>5533.692000000001</v>
      </c>
      <c r="AH28" s="28">
        <f t="shared" si="23"/>
        <v>1862.1960104</v>
      </c>
      <c r="AI28" s="28">
        <f t="shared" si="23"/>
        <v>7759.29481175</v>
      </c>
      <c r="AJ28" s="28">
        <f>AJ12+AJ26</f>
        <v>1396.6730661150002</v>
      </c>
      <c r="AK28" s="28">
        <f t="shared" si="23"/>
        <v>7851.17788915</v>
      </c>
      <c r="AL28" s="28">
        <f t="shared" si="23"/>
        <v>1413.212020047</v>
      </c>
      <c r="AM28" s="28">
        <f t="shared" si="23"/>
        <v>17193.347788174407</v>
      </c>
      <c r="AN28" s="28">
        <f t="shared" si="23"/>
        <v>3094.8026018713927</v>
      </c>
      <c r="AO28" s="28">
        <f t="shared" si="23"/>
        <v>0</v>
      </c>
      <c r="AP28" s="28">
        <f t="shared" si="23"/>
        <v>0</v>
      </c>
      <c r="AQ28" s="198">
        <f t="shared" si="23"/>
        <v>0</v>
      </c>
      <c r="AR28" s="198">
        <f t="shared" si="23"/>
        <v>0</v>
      </c>
      <c r="AS28" s="197">
        <f t="shared" si="23"/>
        <v>16975.91</v>
      </c>
      <c r="AT28" s="197">
        <f t="shared" si="23"/>
        <v>0</v>
      </c>
      <c r="AU28" s="197">
        <f t="shared" si="23"/>
        <v>3055.6737999999996</v>
      </c>
      <c r="AV28" s="28">
        <f t="shared" si="23"/>
        <v>4400</v>
      </c>
      <c r="AW28" s="28">
        <f t="shared" si="23"/>
        <v>3.599999999999999</v>
      </c>
      <c r="AX28" s="28">
        <f t="shared" si="23"/>
        <v>1744.512</v>
      </c>
      <c r="AY28" s="28">
        <f t="shared" si="23"/>
        <v>0</v>
      </c>
      <c r="AZ28" s="28">
        <f t="shared" si="23"/>
        <v>0</v>
      </c>
      <c r="BA28" s="28">
        <f t="shared" si="23"/>
        <v>0</v>
      </c>
      <c r="BB28" s="28">
        <f t="shared" si="23"/>
        <v>67880.4919875078</v>
      </c>
      <c r="BC28" s="28">
        <f t="shared" si="23"/>
        <v>0</v>
      </c>
      <c r="BD28" s="28">
        <f t="shared" si="23"/>
        <v>67880.4919875078</v>
      </c>
      <c r="BE28" s="28">
        <f t="shared" si="23"/>
        <v>-6642.262414957795</v>
      </c>
      <c r="BF28" s="28">
        <f t="shared" si="23"/>
        <v>-4839.939999999998</v>
      </c>
    </row>
    <row r="29" spans="1:58" ht="15" customHeight="1" hidden="1">
      <c r="A29" s="8" t="s">
        <v>93</v>
      </c>
      <c r="B29" s="149"/>
      <c r="C29" s="150"/>
      <c r="D29" s="150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2"/>
      <c r="P29" s="153"/>
      <c r="Q29" s="154"/>
      <c r="R29" s="154"/>
      <c r="S29" s="154"/>
      <c r="T29" s="154"/>
      <c r="U29" s="155"/>
      <c r="V29" s="155"/>
      <c r="W29" s="155"/>
      <c r="X29" s="155"/>
      <c r="Y29" s="155"/>
      <c r="Z29" s="155"/>
      <c r="AA29" s="156"/>
      <c r="AB29" s="156"/>
      <c r="AC29" s="104"/>
      <c r="AD29" s="105"/>
      <c r="AE29" s="105"/>
      <c r="AF29" s="54"/>
      <c r="AG29" s="54"/>
      <c r="AH29" s="54"/>
      <c r="AI29" s="54"/>
      <c r="AJ29" s="54"/>
      <c r="AK29" s="54"/>
      <c r="AL29" s="54"/>
      <c r="AM29" s="54"/>
      <c r="AN29" s="69"/>
      <c r="AO29" s="69"/>
      <c r="AP29" s="69"/>
      <c r="AQ29" s="192"/>
      <c r="AR29" s="193"/>
      <c r="AS29" s="98"/>
      <c r="AT29" s="98"/>
      <c r="AU29" s="157"/>
      <c r="AV29" s="54"/>
      <c r="AW29" s="54"/>
      <c r="AX29" s="55"/>
      <c r="AY29" s="1"/>
      <c r="AZ29" s="1"/>
      <c r="BA29" s="1"/>
      <c r="BB29" s="1"/>
      <c r="BC29" s="1"/>
      <c r="BD29" s="1"/>
      <c r="BE29" s="1"/>
      <c r="BF29" s="158"/>
    </row>
    <row r="30" spans="1:58" ht="12.75" hidden="1">
      <c r="A30" s="14" t="s">
        <v>43</v>
      </c>
      <c r="B30" s="225">
        <v>631.7</v>
      </c>
      <c r="C30" s="226">
        <f aca="true" t="shared" si="24" ref="C30:C41">B30*8.65</f>
        <v>5464.205000000001</v>
      </c>
      <c r="D30" s="227">
        <f aca="true" t="shared" si="25" ref="D30:D40">C30-E30-F30-G30-H30-I30-J30-K30-L30-M30-N30</f>
        <v>2981.9750000000013</v>
      </c>
      <c r="E30" s="228">
        <v>242.48</v>
      </c>
      <c r="F30" s="228">
        <v>44</v>
      </c>
      <c r="G30" s="228">
        <v>328.53</v>
      </c>
      <c r="H30" s="228">
        <v>59.64</v>
      </c>
      <c r="I30" s="228">
        <v>789.25</v>
      </c>
      <c r="J30" s="228">
        <v>143.19</v>
      </c>
      <c r="K30" s="228">
        <v>546.75</v>
      </c>
      <c r="L30" s="228">
        <v>99.23</v>
      </c>
      <c r="M30" s="229">
        <v>193.97</v>
      </c>
      <c r="N30" s="230">
        <v>35.19</v>
      </c>
      <c r="O30" s="231">
        <v>0</v>
      </c>
      <c r="P30" s="231">
        <v>0</v>
      </c>
      <c r="Q30" s="231"/>
      <c r="R30" s="231"/>
      <c r="S30" s="228">
        <f aca="true" t="shared" si="26" ref="S30:S41">E30+G30+I30+K30+M30+O30+Q30</f>
        <v>2100.98</v>
      </c>
      <c r="T30" s="232">
        <f aca="true" t="shared" si="27" ref="T30:T41">P30+N30+L30+J30+H30+F30+R30</f>
        <v>381.25</v>
      </c>
      <c r="U30" s="228">
        <v>184.56</v>
      </c>
      <c r="V30" s="228">
        <v>250.07</v>
      </c>
      <c r="W30" s="228">
        <v>600.75</v>
      </c>
      <c r="X30" s="228">
        <v>416.19</v>
      </c>
      <c r="Y30" s="228">
        <v>147.64</v>
      </c>
      <c r="Z30" s="228">
        <v>0</v>
      </c>
      <c r="AA30" s="231">
        <v>0</v>
      </c>
      <c r="AB30" s="231">
        <f>SUM(U30:AA30)</f>
        <v>1599.21</v>
      </c>
      <c r="AC30" s="233">
        <f aca="true" t="shared" si="28" ref="AC30:AC41">D30+T30+AB30</f>
        <v>4962.435000000001</v>
      </c>
      <c r="AD30" s="234">
        <f aca="true" t="shared" si="29" ref="AD30:AD41">P30+Z30</f>
        <v>0</v>
      </c>
      <c r="AE30" s="234">
        <f aca="true" t="shared" si="30" ref="AE30:AE41">R30+AA30</f>
        <v>0</v>
      </c>
      <c r="AF30" s="234"/>
      <c r="AG30" s="235">
        <f aca="true" t="shared" si="31" ref="AG30:AG41">0.6*B30</f>
        <v>379.02000000000004</v>
      </c>
      <c r="AH30" s="235">
        <f aca="true" t="shared" si="32" ref="AH30:AH41">B30*0.2</f>
        <v>126.34000000000002</v>
      </c>
      <c r="AI30" s="235">
        <f aca="true" t="shared" si="33" ref="AI30:AI41">1*B30</f>
        <v>631.7</v>
      </c>
      <c r="AJ30" s="235">
        <v>0</v>
      </c>
      <c r="AK30" s="235">
        <f aca="true" t="shared" si="34" ref="AK30:AK41">0.98*B30</f>
        <v>619.066</v>
      </c>
      <c r="AL30" s="235">
        <v>0</v>
      </c>
      <c r="AM30" s="235">
        <f aca="true" t="shared" si="35" ref="AM30:AM41">2.25*B30</f>
        <v>1421.325</v>
      </c>
      <c r="AN30" s="235">
        <v>0</v>
      </c>
      <c r="AO30" s="235"/>
      <c r="AP30" s="235">
        <v>0</v>
      </c>
      <c r="AQ30" s="236"/>
      <c r="AR30" s="236"/>
      <c r="AS30" s="237">
        <v>0</v>
      </c>
      <c r="AT30" s="237"/>
      <c r="AU30" s="237">
        <f aca="true" t="shared" si="36" ref="AU30:AU40">AT30*0.18</f>
        <v>0</v>
      </c>
      <c r="AV30" s="238">
        <v>508</v>
      </c>
      <c r="AW30" s="239">
        <v>0.3</v>
      </c>
      <c r="AX30" s="235">
        <f aca="true" t="shared" si="37" ref="AX30:AX41">AV30*AW30*1.4</f>
        <v>213.35999999999999</v>
      </c>
      <c r="AY30" s="240"/>
      <c r="AZ30" s="241"/>
      <c r="BA30" s="241">
        <f aca="true" t="shared" si="38" ref="BA30:BA41">AZ30*0.18</f>
        <v>0</v>
      </c>
      <c r="BB30" s="241">
        <f>SUM(AG30:BA30)-AV30-AW30</f>
        <v>3390.811</v>
      </c>
      <c r="BC30" s="242"/>
      <c r="BD30" s="220"/>
      <c r="BE30" s="145">
        <f>(AC30-BB30)+(AF30-BC30)</f>
        <v>1571.6240000000012</v>
      </c>
      <c r="BF30" s="145">
        <f>AB30-S30</f>
        <v>-501.77</v>
      </c>
    </row>
    <row r="31" spans="1:58" ht="12.75" hidden="1">
      <c r="A31" s="14" t="s">
        <v>44</v>
      </c>
      <c r="B31" s="243">
        <v>631.7</v>
      </c>
      <c r="C31" s="226">
        <f t="shared" si="24"/>
        <v>5464.205000000001</v>
      </c>
      <c r="D31" s="227">
        <f t="shared" si="25"/>
        <v>2981.9750000000013</v>
      </c>
      <c r="E31" s="244">
        <v>242.48</v>
      </c>
      <c r="F31" s="228">
        <v>44</v>
      </c>
      <c r="G31" s="228">
        <v>328.53</v>
      </c>
      <c r="H31" s="228">
        <v>59.64</v>
      </c>
      <c r="I31" s="228">
        <v>789.25</v>
      </c>
      <c r="J31" s="228">
        <v>143.19</v>
      </c>
      <c r="K31" s="228">
        <v>546.75</v>
      </c>
      <c r="L31" s="228">
        <v>99.23</v>
      </c>
      <c r="M31" s="229">
        <v>193.97</v>
      </c>
      <c r="N31" s="230">
        <v>35.19</v>
      </c>
      <c r="O31" s="231">
        <v>0</v>
      </c>
      <c r="P31" s="231">
        <v>0</v>
      </c>
      <c r="Q31" s="228">
        <v>0</v>
      </c>
      <c r="R31" s="231">
        <v>0</v>
      </c>
      <c r="S31" s="228">
        <f t="shared" si="26"/>
        <v>2100.98</v>
      </c>
      <c r="T31" s="232">
        <f t="shared" si="27"/>
        <v>381.25</v>
      </c>
      <c r="U31" s="228">
        <v>233.77</v>
      </c>
      <c r="V31" s="228">
        <v>316.73</v>
      </c>
      <c r="W31" s="228">
        <v>760.82</v>
      </c>
      <c r="X31" s="228">
        <v>527.01</v>
      </c>
      <c r="Y31" s="228">
        <v>186.99</v>
      </c>
      <c r="Z31" s="228">
        <v>0</v>
      </c>
      <c r="AA31" s="231">
        <v>0</v>
      </c>
      <c r="AB31" s="231">
        <f>SUM(U31:AA31)</f>
        <v>2025.3200000000002</v>
      </c>
      <c r="AC31" s="233">
        <f t="shared" si="28"/>
        <v>5388.545000000002</v>
      </c>
      <c r="AD31" s="234">
        <f t="shared" si="29"/>
        <v>0</v>
      </c>
      <c r="AE31" s="234">
        <f t="shared" si="30"/>
        <v>0</v>
      </c>
      <c r="AF31" s="234"/>
      <c r="AG31" s="235">
        <f t="shared" si="31"/>
        <v>379.02000000000004</v>
      </c>
      <c r="AH31" s="235">
        <f t="shared" si="32"/>
        <v>126.34000000000002</v>
      </c>
      <c r="AI31" s="235">
        <f t="shared" si="33"/>
        <v>631.7</v>
      </c>
      <c r="AJ31" s="235">
        <v>0</v>
      </c>
      <c r="AK31" s="235">
        <f t="shared" si="34"/>
        <v>619.066</v>
      </c>
      <c r="AL31" s="235">
        <v>0</v>
      </c>
      <c r="AM31" s="235">
        <f t="shared" si="35"/>
        <v>1421.325</v>
      </c>
      <c r="AN31" s="235">
        <v>0</v>
      </c>
      <c r="AO31" s="235"/>
      <c r="AP31" s="235"/>
      <c r="AQ31" s="236"/>
      <c r="AR31" s="236"/>
      <c r="AS31" s="237">
        <v>599</v>
      </c>
      <c r="AT31" s="237"/>
      <c r="AU31" s="237">
        <f t="shared" si="36"/>
        <v>0</v>
      </c>
      <c r="AV31" s="238">
        <v>407</v>
      </c>
      <c r="AW31" s="239">
        <v>0.3</v>
      </c>
      <c r="AX31" s="235">
        <f t="shared" si="37"/>
        <v>170.93999999999997</v>
      </c>
      <c r="AY31" s="240"/>
      <c r="AZ31" s="241"/>
      <c r="BA31" s="241">
        <f t="shared" si="38"/>
        <v>0</v>
      </c>
      <c r="BB31" s="241">
        <f aca="true" t="shared" si="39" ref="BB31:BB41">SUM(AG31:BA31)-AV31-AW31</f>
        <v>3947.3909999999996</v>
      </c>
      <c r="BC31" s="242"/>
      <c r="BD31" s="220"/>
      <c r="BE31" s="145">
        <f aca="true" t="shared" si="40" ref="BE31:BE41">(AC31-BB31)+(AF31-BC31)</f>
        <v>1441.1540000000023</v>
      </c>
      <c r="BF31" s="145">
        <f aca="true" t="shared" si="41" ref="BF31:BF41">AB31-S31</f>
        <v>-75.65999999999985</v>
      </c>
    </row>
    <row r="32" spans="1:58" ht="13.5" hidden="1" thickBot="1">
      <c r="A32" s="171" t="s">
        <v>45</v>
      </c>
      <c r="B32" s="225">
        <v>631.7</v>
      </c>
      <c r="C32" s="226">
        <f t="shared" si="24"/>
        <v>5464.205000000001</v>
      </c>
      <c r="D32" s="227">
        <f t="shared" si="25"/>
        <v>2981.9850000000015</v>
      </c>
      <c r="E32" s="228">
        <v>242.48</v>
      </c>
      <c r="F32" s="228">
        <v>44</v>
      </c>
      <c r="G32" s="228">
        <v>328.52</v>
      </c>
      <c r="H32" s="228">
        <v>59.64</v>
      </c>
      <c r="I32" s="228">
        <v>789.25</v>
      </c>
      <c r="J32" s="228">
        <v>143.19</v>
      </c>
      <c r="K32" s="228">
        <v>546.75</v>
      </c>
      <c r="L32" s="228">
        <v>99.23</v>
      </c>
      <c r="M32" s="229">
        <v>193.97</v>
      </c>
      <c r="N32" s="230">
        <v>35.19</v>
      </c>
      <c r="O32" s="231">
        <v>0</v>
      </c>
      <c r="P32" s="231">
        <v>0</v>
      </c>
      <c r="Q32" s="231">
        <v>0</v>
      </c>
      <c r="R32" s="231">
        <v>0</v>
      </c>
      <c r="S32" s="228">
        <f t="shared" si="26"/>
        <v>2100.97</v>
      </c>
      <c r="T32" s="232">
        <f t="shared" si="27"/>
        <v>381.25</v>
      </c>
      <c r="U32" s="228">
        <v>237.81</v>
      </c>
      <c r="V32" s="228">
        <v>322.15</v>
      </c>
      <c r="W32" s="228">
        <v>774.07</v>
      </c>
      <c r="X32" s="228">
        <v>536.27</v>
      </c>
      <c r="Y32" s="228">
        <v>190.24</v>
      </c>
      <c r="Z32" s="228">
        <v>0</v>
      </c>
      <c r="AA32" s="231">
        <v>0</v>
      </c>
      <c r="AB32" s="231">
        <f>SUM(U32:AA32)</f>
        <v>2060.54</v>
      </c>
      <c r="AC32" s="233">
        <f t="shared" si="28"/>
        <v>5423.7750000000015</v>
      </c>
      <c r="AD32" s="234">
        <f t="shared" si="29"/>
        <v>0</v>
      </c>
      <c r="AE32" s="234">
        <f t="shared" si="30"/>
        <v>0</v>
      </c>
      <c r="AF32" s="234"/>
      <c r="AG32" s="235">
        <f t="shared" si="31"/>
        <v>379.02000000000004</v>
      </c>
      <c r="AH32" s="235">
        <f t="shared" si="32"/>
        <v>126.34000000000002</v>
      </c>
      <c r="AI32" s="235">
        <f t="shared" si="33"/>
        <v>631.7</v>
      </c>
      <c r="AJ32" s="235">
        <v>0</v>
      </c>
      <c r="AK32" s="235">
        <f t="shared" si="34"/>
        <v>619.066</v>
      </c>
      <c r="AL32" s="235">
        <v>0</v>
      </c>
      <c r="AM32" s="235">
        <f t="shared" si="35"/>
        <v>1421.325</v>
      </c>
      <c r="AN32" s="235">
        <v>0</v>
      </c>
      <c r="AO32" s="235"/>
      <c r="AP32" s="235"/>
      <c r="AQ32" s="236"/>
      <c r="AR32" s="236"/>
      <c r="AS32" s="237"/>
      <c r="AT32" s="237"/>
      <c r="AU32" s="237">
        <f t="shared" si="36"/>
        <v>0</v>
      </c>
      <c r="AV32" s="238">
        <v>383</v>
      </c>
      <c r="AW32" s="239">
        <v>0.3</v>
      </c>
      <c r="AX32" s="235">
        <f t="shared" si="37"/>
        <v>160.85999999999999</v>
      </c>
      <c r="AY32" s="240"/>
      <c r="AZ32" s="241"/>
      <c r="BA32" s="241">
        <f t="shared" si="38"/>
        <v>0</v>
      </c>
      <c r="BB32" s="241">
        <f t="shared" si="39"/>
        <v>3338.311</v>
      </c>
      <c r="BC32" s="242"/>
      <c r="BD32" s="221"/>
      <c r="BE32" s="145">
        <f t="shared" si="40"/>
        <v>2085.4640000000013</v>
      </c>
      <c r="BF32" s="145">
        <f t="shared" si="41"/>
        <v>-40.429999999999836</v>
      </c>
    </row>
    <row r="33" spans="1:58" ht="12.75" hidden="1">
      <c r="A33" s="170" t="s">
        <v>46</v>
      </c>
      <c r="B33" s="225">
        <v>631.7</v>
      </c>
      <c r="C33" s="226">
        <f t="shared" si="24"/>
        <v>5464.205000000001</v>
      </c>
      <c r="D33" s="227">
        <f t="shared" si="25"/>
        <v>2981.9750000000004</v>
      </c>
      <c r="E33" s="228">
        <v>231.55</v>
      </c>
      <c r="F33" s="228">
        <v>54.93</v>
      </c>
      <c r="G33" s="228">
        <v>313.71</v>
      </c>
      <c r="H33" s="228">
        <v>74.46</v>
      </c>
      <c r="I33" s="228">
        <v>753.64</v>
      </c>
      <c r="J33" s="228">
        <v>178.8</v>
      </c>
      <c r="K33" s="228">
        <v>522.09</v>
      </c>
      <c r="L33" s="228">
        <v>123.89</v>
      </c>
      <c r="M33" s="229">
        <v>185.21</v>
      </c>
      <c r="N33" s="230">
        <v>43.95</v>
      </c>
      <c r="O33" s="231">
        <v>0</v>
      </c>
      <c r="P33" s="231">
        <v>0</v>
      </c>
      <c r="Q33" s="231"/>
      <c r="R33" s="231"/>
      <c r="S33" s="228">
        <f t="shared" si="26"/>
        <v>2006.2000000000003</v>
      </c>
      <c r="T33" s="232">
        <f t="shared" si="27"/>
        <v>476.03</v>
      </c>
      <c r="U33" s="228">
        <v>179.68</v>
      </c>
      <c r="V33" s="228">
        <v>242.59</v>
      </c>
      <c r="W33" s="228">
        <v>583.97</v>
      </c>
      <c r="X33" s="228">
        <v>404.28</v>
      </c>
      <c r="Y33" s="228">
        <v>143.76</v>
      </c>
      <c r="Z33" s="228">
        <v>0</v>
      </c>
      <c r="AA33" s="231">
        <v>0</v>
      </c>
      <c r="AB33" s="231">
        <f>SUM(U33:AA33)</f>
        <v>1554.28</v>
      </c>
      <c r="AC33" s="233">
        <f t="shared" si="28"/>
        <v>5012.285</v>
      </c>
      <c r="AD33" s="234">
        <f t="shared" si="29"/>
        <v>0</v>
      </c>
      <c r="AE33" s="234">
        <f t="shared" si="30"/>
        <v>0</v>
      </c>
      <c r="AF33" s="234"/>
      <c r="AG33" s="235">
        <f t="shared" si="31"/>
        <v>379.02000000000004</v>
      </c>
      <c r="AH33" s="235">
        <f t="shared" si="32"/>
        <v>126.34000000000002</v>
      </c>
      <c r="AI33" s="235">
        <f t="shared" si="33"/>
        <v>631.7</v>
      </c>
      <c r="AJ33" s="235">
        <v>0</v>
      </c>
      <c r="AK33" s="235">
        <f t="shared" si="34"/>
        <v>619.066</v>
      </c>
      <c r="AL33" s="235">
        <v>0</v>
      </c>
      <c r="AM33" s="235">
        <f t="shared" si="35"/>
        <v>1421.325</v>
      </c>
      <c r="AN33" s="235">
        <v>0</v>
      </c>
      <c r="AO33" s="235"/>
      <c r="AP33" s="235"/>
      <c r="AQ33" s="236"/>
      <c r="AR33" s="236"/>
      <c r="AS33" s="237">
        <v>195</v>
      </c>
      <c r="AT33" s="237"/>
      <c r="AU33" s="237">
        <f t="shared" si="36"/>
        <v>0</v>
      </c>
      <c r="AV33" s="238">
        <v>307</v>
      </c>
      <c r="AW33" s="239">
        <v>0.3</v>
      </c>
      <c r="AX33" s="235">
        <f t="shared" si="37"/>
        <v>128.94</v>
      </c>
      <c r="AY33" s="240"/>
      <c r="AZ33" s="241"/>
      <c r="BA33" s="241">
        <f t="shared" si="38"/>
        <v>0</v>
      </c>
      <c r="BB33" s="241">
        <f t="shared" si="39"/>
        <v>3501.391</v>
      </c>
      <c r="BC33" s="242"/>
      <c r="BD33" s="79"/>
      <c r="BE33" s="145">
        <f t="shared" si="40"/>
        <v>1510.8939999999998</v>
      </c>
      <c r="BF33" s="145">
        <f t="shared" si="41"/>
        <v>-451.9200000000003</v>
      </c>
    </row>
    <row r="34" spans="1:58" ht="12.75" hidden="1">
      <c r="A34" s="14" t="s">
        <v>47</v>
      </c>
      <c r="B34" s="225">
        <v>631.9</v>
      </c>
      <c r="C34" s="226">
        <f t="shared" si="24"/>
        <v>5465.935</v>
      </c>
      <c r="D34" s="227">
        <f t="shared" si="25"/>
        <v>2982.915</v>
      </c>
      <c r="E34" s="228">
        <v>231.6</v>
      </c>
      <c r="F34" s="228">
        <v>54.94</v>
      </c>
      <c r="G34" s="228">
        <v>313.84</v>
      </c>
      <c r="H34" s="228">
        <v>74.46</v>
      </c>
      <c r="I34" s="228">
        <v>753.97</v>
      </c>
      <c r="J34" s="228">
        <v>178.79</v>
      </c>
      <c r="K34" s="228">
        <v>522.29</v>
      </c>
      <c r="L34" s="228">
        <v>123.89</v>
      </c>
      <c r="M34" s="229">
        <v>185.3</v>
      </c>
      <c r="N34" s="230">
        <v>43.94</v>
      </c>
      <c r="O34" s="231">
        <v>0</v>
      </c>
      <c r="P34" s="231">
        <v>0</v>
      </c>
      <c r="Q34" s="231"/>
      <c r="R34" s="231"/>
      <c r="S34" s="228">
        <f t="shared" si="26"/>
        <v>2006.9999999999998</v>
      </c>
      <c r="T34" s="232">
        <f t="shared" si="27"/>
        <v>476.02</v>
      </c>
      <c r="U34" s="245">
        <v>224.35</v>
      </c>
      <c r="V34" s="245">
        <v>303.96</v>
      </c>
      <c r="W34" s="245">
        <v>730.27</v>
      </c>
      <c r="X34" s="245">
        <v>505.97</v>
      </c>
      <c r="Y34" s="245">
        <v>179.46</v>
      </c>
      <c r="Z34" s="245">
        <v>0</v>
      </c>
      <c r="AA34" s="246">
        <v>0</v>
      </c>
      <c r="AB34" s="231">
        <f aca="true" t="shared" si="42" ref="AB34:AB41">SUM(U34:AA34)</f>
        <v>1944.01</v>
      </c>
      <c r="AC34" s="233">
        <f t="shared" si="28"/>
        <v>5402.945</v>
      </c>
      <c r="AD34" s="234">
        <f t="shared" si="29"/>
        <v>0</v>
      </c>
      <c r="AE34" s="234">
        <f t="shared" si="30"/>
        <v>0</v>
      </c>
      <c r="AF34" s="234"/>
      <c r="AG34" s="235">
        <f t="shared" si="31"/>
        <v>379.14</v>
      </c>
      <c r="AH34" s="235">
        <f t="shared" si="32"/>
        <v>126.38</v>
      </c>
      <c r="AI34" s="235">
        <f t="shared" si="33"/>
        <v>631.9</v>
      </c>
      <c r="AJ34" s="235">
        <v>0</v>
      </c>
      <c r="AK34" s="235">
        <f t="shared" si="34"/>
        <v>619.262</v>
      </c>
      <c r="AL34" s="235">
        <v>0</v>
      </c>
      <c r="AM34" s="235">
        <f t="shared" si="35"/>
        <v>1421.7749999999999</v>
      </c>
      <c r="AN34" s="235">
        <v>0</v>
      </c>
      <c r="AO34" s="235"/>
      <c r="AP34" s="235"/>
      <c r="AQ34" s="236"/>
      <c r="AR34" s="236"/>
      <c r="AS34" s="237"/>
      <c r="AT34" s="237"/>
      <c r="AU34" s="237">
        <f t="shared" si="36"/>
        <v>0</v>
      </c>
      <c r="AV34" s="238">
        <v>263</v>
      </c>
      <c r="AW34" s="239">
        <v>0.3</v>
      </c>
      <c r="AX34" s="235">
        <f t="shared" si="37"/>
        <v>110.45999999999998</v>
      </c>
      <c r="AY34" s="240"/>
      <c r="AZ34" s="241"/>
      <c r="BA34" s="241">
        <f t="shared" si="38"/>
        <v>0</v>
      </c>
      <c r="BB34" s="241">
        <f t="shared" si="39"/>
        <v>3288.917</v>
      </c>
      <c r="BC34" s="242"/>
      <c r="BD34" s="18"/>
      <c r="BE34" s="145">
        <f t="shared" si="40"/>
        <v>2114.028</v>
      </c>
      <c r="BF34" s="145">
        <f t="shared" si="41"/>
        <v>-62.98999999999978</v>
      </c>
    </row>
    <row r="35" spans="1:58" ht="13.5" hidden="1" thickBot="1">
      <c r="A35" s="171" t="s">
        <v>48</v>
      </c>
      <c r="B35" s="225">
        <v>631.9</v>
      </c>
      <c r="C35" s="226">
        <f t="shared" si="24"/>
        <v>5465.935</v>
      </c>
      <c r="D35" s="227">
        <f t="shared" si="25"/>
        <v>2982.915</v>
      </c>
      <c r="E35" s="228">
        <v>231.6</v>
      </c>
      <c r="F35" s="228">
        <v>54.94</v>
      </c>
      <c r="G35" s="228">
        <v>313.84</v>
      </c>
      <c r="H35" s="228">
        <v>74.46</v>
      </c>
      <c r="I35" s="228">
        <v>753.97</v>
      </c>
      <c r="J35" s="228">
        <v>178.79</v>
      </c>
      <c r="K35" s="228">
        <v>522.29</v>
      </c>
      <c r="L35" s="228">
        <v>123.89</v>
      </c>
      <c r="M35" s="229">
        <v>185.3</v>
      </c>
      <c r="N35" s="230">
        <v>43.94</v>
      </c>
      <c r="O35" s="231">
        <v>0</v>
      </c>
      <c r="P35" s="231">
        <v>0</v>
      </c>
      <c r="Q35" s="231">
        <v>0</v>
      </c>
      <c r="R35" s="231">
        <v>0</v>
      </c>
      <c r="S35" s="228">
        <f t="shared" si="26"/>
        <v>2006.9999999999998</v>
      </c>
      <c r="T35" s="232">
        <f t="shared" si="27"/>
        <v>476.02</v>
      </c>
      <c r="U35" s="228">
        <v>171.32</v>
      </c>
      <c r="V35" s="228">
        <v>232</v>
      </c>
      <c r="W35" s="228">
        <v>557.55</v>
      </c>
      <c r="X35" s="228">
        <v>386.13</v>
      </c>
      <c r="Y35" s="228">
        <v>137.06</v>
      </c>
      <c r="Z35" s="228">
        <v>0</v>
      </c>
      <c r="AA35" s="231">
        <v>0</v>
      </c>
      <c r="AB35" s="231">
        <f t="shared" si="42"/>
        <v>1484.06</v>
      </c>
      <c r="AC35" s="233">
        <f t="shared" si="28"/>
        <v>4942.995</v>
      </c>
      <c r="AD35" s="234">
        <f t="shared" si="29"/>
        <v>0</v>
      </c>
      <c r="AE35" s="234">
        <f t="shared" si="30"/>
        <v>0</v>
      </c>
      <c r="AF35" s="234"/>
      <c r="AG35" s="235">
        <f t="shared" si="31"/>
        <v>379.14</v>
      </c>
      <c r="AH35" s="235">
        <f t="shared" si="32"/>
        <v>126.38</v>
      </c>
      <c r="AI35" s="235">
        <f t="shared" si="33"/>
        <v>631.9</v>
      </c>
      <c r="AJ35" s="235">
        <v>0</v>
      </c>
      <c r="AK35" s="235">
        <f t="shared" si="34"/>
        <v>619.262</v>
      </c>
      <c r="AL35" s="235">
        <v>0</v>
      </c>
      <c r="AM35" s="235">
        <f t="shared" si="35"/>
        <v>1421.7749999999999</v>
      </c>
      <c r="AN35" s="235">
        <v>0</v>
      </c>
      <c r="AO35" s="235"/>
      <c r="AP35" s="235"/>
      <c r="AQ35" s="236"/>
      <c r="AR35" s="236"/>
      <c r="AS35" s="237">
        <v>664</v>
      </c>
      <c r="AT35" s="237"/>
      <c r="AU35" s="237">
        <f t="shared" si="36"/>
        <v>0</v>
      </c>
      <c r="AV35" s="238">
        <v>233</v>
      </c>
      <c r="AW35" s="239">
        <v>0.3</v>
      </c>
      <c r="AX35" s="235">
        <f t="shared" si="37"/>
        <v>97.85999999999999</v>
      </c>
      <c r="AY35" s="240"/>
      <c r="AZ35" s="241"/>
      <c r="BA35" s="241">
        <f t="shared" si="38"/>
        <v>0</v>
      </c>
      <c r="BB35" s="241">
        <f t="shared" si="39"/>
        <v>3940.317</v>
      </c>
      <c r="BC35" s="242"/>
      <c r="BD35" s="100"/>
      <c r="BE35" s="145">
        <f t="shared" si="40"/>
        <v>1002.6779999999999</v>
      </c>
      <c r="BF35" s="145">
        <f t="shared" si="41"/>
        <v>-522.9399999999998</v>
      </c>
    </row>
    <row r="36" spans="1:58" ht="12.75" hidden="1">
      <c r="A36" s="170" t="s">
        <v>49</v>
      </c>
      <c r="B36" s="225">
        <v>631.9</v>
      </c>
      <c r="C36" s="226">
        <f t="shared" si="24"/>
        <v>5465.935</v>
      </c>
      <c r="D36" s="227">
        <f t="shared" si="25"/>
        <v>2980.0750000000007</v>
      </c>
      <c r="E36" s="244">
        <v>286.87</v>
      </c>
      <c r="F36" s="228">
        <v>0</v>
      </c>
      <c r="G36" s="228">
        <v>388.73</v>
      </c>
      <c r="H36" s="228">
        <v>0</v>
      </c>
      <c r="I36" s="228">
        <v>933.84</v>
      </c>
      <c r="J36" s="228">
        <v>0</v>
      </c>
      <c r="K36" s="228">
        <v>646.91</v>
      </c>
      <c r="L36" s="228">
        <v>0</v>
      </c>
      <c r="M36" s="229">
        <v>229.51</v>
      </c>
      <c r="N36" s="230">
        <v>0</v>
      </c>
      <c r="O36" s="231">
        <v>0</v>
      </c>
      <c r="P36" s="231">
        <v>0</v>
      </c>
      <c r="Q36" s="231"/>
      <c r="R36" s="231"/>
      <c r="S36" s="228">
        <f t="shared" si="26"/>
        <v>2485.8599999999997</v>
      </c>
      <c r="T36" s="232">
        <f t="shared" si="27"/>
        <v>0</v>
      </c>
      <c r="U36" s="244">
        <v>228.85</v>
      </c>
      <c r="V36" s="228">
        <v>310.1</v>
      </c>
      <c r="W36" s="228">
        <v>745</v>
      </c>
      <c r="X36" s="228">
        <v>516.11</v>
      </c>
      <c r="Y36" s="228">
        <v>183.11</v>
      </c>
      <c r="Z36" s="228">
        <v>0</v>
      </c>
      <c r="AA36" s="231">
        <v>0</v>
      </c>
      <c r="AB36" s="231">
        <f t="shared" si="42"/>
        <v>1983.17</v>
      </c>
      <c r="AC36" s="233">
        <f t="shared" si="28"/>
        <v>4963.245000000001</v>
      </c>
      <c r="AD36" s="234">
        <f t="shared" si="29"/>
        <v>0</v>
      </c>
      <c r="AE36" s="234">
        <f t="shared" si="30"/>
        <v>0</v>
      </c>
      <c r="AF36" s="234"/>
      <c r="AG36" s="235">
        <f t="shared" si="31"/>
        <v>379.14</v>
      </c>
      <c r="AH36" s="235">
        <f t="shared" si="32"/>
        <v>126.38</v>
      </c>
      <c r="AI36" s="235">
        <f t="shared" si="33"/>
        <v>631.9</v>
      </c>
      <c r="AJ36" s="235">
        <v>0</v>
      </c>
      <c r="AK36" s="235">
        <f t="shared" si="34"/>
        <v>619.262</v>
      </c>
      <c r="AL36" s="235">
        <v>0</v>
      </c>
      <c r="AM36" s="235">
        <f t="shared" si="35"/>
        <v>1421.7749999999999</v>
      </c>
      <c r="AN36" s="235">
        <v>0</v>
      </c>
      <c r="AO36" s="235"/>
      <c r="AP36" s="235"/>
      <c r="AQ36" s="236"/>
      <c r="AR36" s="236"/>
      <c r="AS36" s="237"/>
      <c r="AT36" s="237"/>
      <c r="AU36" s="237">
        <f t="shared" si="36"/>
        <v>0</v>
      </c>
      <c r="AV36" s="238">
        <v>248</v>
      </c>
      <c r="AW36" s="239">
        <v>0.3</v>
      </c>
      <c r="AX36" s="235">
        <f t="shared" si="37"/>
        <v>104.15999999999998</v>
      </c>
      <c r="AY36" s="240"/>
      <c r="AZ36" s="241"/>
      <c r="BA36" s="241">
        <f t="shared" si="38"/>
        <v>0</v>
      </c>
      <c r="BB36" s="241">
        <f t="shared" si="39"/>
        <v>3282.6169999999997</v>
      </c>
      <c r="BC36" s="242"/>
      <c r="BD36" s="18"/>
      <c r="BE36" s="145">
        <f t="shared" si="40"/>
        <v>1680.628000000001</v>
      </c>
      <c r="BF36" s="145">
        <f t="shared" si="41"/>
        <v>-502.6899999999996</v>
      </c>
    </row>
    <row r="37" spans="1:58" ht="12.75" hidden="1">
      <c r="A37" s="14" t="s">
        <v>50</v>
      </c>
      <c r="B37" s="225">
        <v>631.9</v>
      </c>
      <c r="C37" s="226">
        <f t="shared" si="24"/>
        <v>5465.935</v>
      </c>
      <c r="D37" s="227">
        <f t="shared" si="25"/>
        <v>2980.0750000000007</v>
      </c>
      <c r="E37" s="244">
        <v>286.87</v>
      </c>
      <c r="F37" s="228">
        <v>0</v>
      </c>
      <c r="G37" s="228">
        <v>388.73</v>
      </c>
      <c r="H37" s="228">
        <v>0</v>
      </c>
      <c r="I37" s="228">
        <v>933.84</v>
      </c>
      <c r="J37" s="228">
        <v>0</v>
      </c>
      <c r="K37" s="228">
        <v>646.91</v>
      </c>
      <c r="L37" s="228">
        <v>0</v>
      </c>
      <c r="M37" s="229">
        <v>229.51</v>
      </c>
      <c r="N37" s="230">
        <v>0</v>
      </c>
      <c r="O37" s="231">
        <v>0</v>
      </c>
      <c r="P37" s="231">
        <v>0</v>
      </c>
      <c r="Q37" s="231"/>
      <c r="R37" s="231"/>
      <c r="S37" s="228">
        <f t="shared" si="26"/>
        <v>2485.8599999999997</v>
      </c>
      <c r="T37" s="232">
        <f t="shared" si="27"/>
        <v>0</v>
      </c>
      <c r="U37" s="245">
        <v>244.18</v>
      </c>
      <c r="V37" s="245">
        <v>330.88</v>
      </c>
      <c r="W37" s="245">
        <v>794.82</v>
      </c>
      <c r="X37" s="245">
        <v>550.57</v>
      </c>
      <c r="Y37" s="245">
        <v>195.34</v>
      </c>
      <c r="Z37" s="245">
        <v>0</v>
      </c>
      <c r="AA37" s="246">
        <v>0</v>
      </c>
      <c r="AB37" s="231">
        <f t="shared" si="42"/>
        <v>2115.7900000000004</v>
      </c>
      <c r="AC37" s="233">
        <f t="shared" si="28"/>
        <v>5095.865000000002</v>
      </c>
      <c r="AD37" s="234">
        <f t="shared" si="29"/>
        <v>0</v>
      </c>
      <c r="AE37" s="234">
        <f t="shared" si="30"/>
        <v>0</v>
      </c>
      <c r="AF37" s="234"/>
      <c r="AG37" s="235">
        <f t="shared" si="31"/>
        <v>379.14</v>
      </c>
      <c r="AH37" s="235">
        <f t="shared" si="32"/>
        <v>126.38</v>
      </c>
      <c r="AI37" s="235">
        <f t="shared" si="33"/>
        <v>631.9</v>
      </c>
      <c r="AJ37" s="235">
        <v>0</v>
      </c>
      <c r="AK37" s="235">
        <f t="shared" si="34"/>
        <v>619.262</v>
      </c>
      <c r="AL37" s="235">
        <v>0</v>
      </c>
      <c r="AM37" s="235">
        <f t="shared" si="35"/>
        <v>1421.7749999999999</v>
      </c>
      <c r="AN37" s="235">
        <v>0</v>
      </c>
      <c r="AO37" s="235"/>
      <c r="AP37" s="235"/>
      <c r="AQ37" s="236"/>
      <c r="AR37" s="236"/>
      <c r="AS37" s="237"/>
      <c r="AT37" s="237">
        <f>47.8</f>
        <v>47.8</v>
      </c>
      <c r="AU37" s="237"/>
      <c r="AV37" s="238">
        <v>293</v>
      </c>
      <c r="AW37" s="239">
        <v>0.3</v>
      </c>
      <c r="AX37" s="235">
        <f t="shared" si="37"/>
        <v>123.05999999999997</v>
      </c>
      <c r="AY37" s="240"/>
      <c r="AZ37" s="241"/>
      <c r="BA37" s="241">
        <f t="shared" si="38"/>
        <v>0</v>
      </c>
      <c r="BB37" s="241">
        <f t="shared" si="39"/>
        <v>3349.317</v>
      </c>
      <c r="BC37" s="242"/>
      <c r="BD37" s="18"/>
      <c r="BE37" s="145">
        <f t="shared" si="40"/>
        <v>1746.5480000000016</v>
      </c>
      <c r="BF37" s="145">
        <f t="shared" si="41"/>
        <v>-370.06999999999925</v>
      </c>
    </row>
    <row r="38" spans="1:58" ht="13.5" hidden="1" thickBot="1">
      <c r="A38" s="171" t="s">
        <v>51</v>
      </c>
      <c r="B38" s="225">
        <v>631.9</v>
      </c>
      <c r="C38" s="226">
        <f t="shared" si="24"/>
        <v>5465.935</v>
      </c>
      <c r="D38" s="227">
        <f t="shared" si="25"/>
        <v>2980.0750000000007</v>
      </c>
      <c r="E38" s="228">
        <v>286.87</v>
      </c>
      <c r="F38" s="228">
        <v>0</v>
      </c>
      <c r="G38" s="228">
        <v>388.73</v>
      </c>
      <c r="H38" s="228">
        <v>0</v>
      </c>
      <c r="I38" s="228">
        <v>933.84</v>
      </c>
      <c r="J38" s="228">
        <v>0</v>
      </c>
      <c r="K38" s="228">
        <v>646.91</v>
      </c>
      <c r="L38" s="228">
        <v>0</v>
      </c>
      <c r="M38" s="229">
        <v>229.51</v>
      </c>
      <c r="N38" s="230">
        <v>0</v>
      </c>
      <c r="O38" s="231">
        <v>0</v>
      </c>
      <c r="P38" s="231">
        <v>0</v>
      </c>
      <c r="Q38" s="231"/>
      <c r="R38" s="231"/>
      <c r="S38" s="228">
        <f t="shared" si="26"/>
        <v>2485.8599999999997</v>
      </c>
      <c r="T38" s="232">
        <f t="shared" si="27"/>
        <v>0</v>
      </c>
      <c r="U38" s="228">
        <v>226.01</v>
      </c>
      <c r="V38" s="228">
        <v>306.27</v>
      </c>
      <c r="W38" s="228">
        <v>735.8</v>
      </c>
      <c r="X38" s="228">
        <v>509.77</v>
      </c>
      <c r="Y38" s="228">
        <v>180.82</v>
      </c>
      <c r="Z38" s="228">
        <v>0</v>
      </c>
      <c r="AA38" s="231">
        <v>0</v>
      </c>
      <c r="AB38" s="231">
        <f t="shared" si="42"/>
        <v>1958.6699999999998</v>
      </c>
      <c r="AC38" s="233">
        <f t="shared" si="28"/>
        <v>4938.745000000001</v>
      </c>
      <c r="AD38" s="234">
        <f t="shared" si="29"/>
        <v>0</v>
      </c>
      <c r="AE38" s="234">
        <f t="shared" si="30"/>
        <v>0</v>
      </c>
      <c r="AF38" s="234"/>
      <c r="AG38" s="235">
        <f t="shared" si="31"/>
        <v>379.14</v>
      </c>
      <c r="AH38" s="235">
        <f t="shared" si="32"/>
        <v>126.38</v>
      </c>
      <c r="AI38" s="235">
        <f t="shared" si="33"/>
        <v>631.9</v>
      </c>
      <c r="AJ38" s="235">
        <v>0</v>
      </c>
      <c r="AK38" s="235">
        <f t="shared" si="34"/>
        <v>619.262</v>
      </c>
      <c r="AL38" s="235">
        <v>0</v>
      </c>
      <c r="AM38" s="235">
        <f t="shared" si="35"/>
        <v>1421.7749999999999</v>
      </c>
      <c r="AN38" s="235">
        <v>0</v>
      </c>
      <c r="AO38" s="235"/>
      <c r="AP38" s="235"/>
      <c r="AQ38" s="236"/>
      <c r="AR38" s="236"/>
      <c r="AS38" s="237"/>
      <c r="AT38" s="237"/>
      <c r="AU38" s="247">
        <f t="shared" si="36"/>
        <v>0</v>
      </c>
      <c r="AV38" s="238">
        <v>349</v>
      </c>
      <c r="AW38" s="239">
        <v>0.3</v>
      </c>
      <c r="AX38" s="235">
        <f t="shared" si="37"/>
        <v>146.57999999999998</v>
      </c>
      <c r="AY38" s="240"/>
      <c r="AZ38" s="241"/>
      <c r="BA38" s="241">
        <f t="shared" si="38"/>
        <v>0</v>
      </c>
      <c r="BB38" s="241">
        <f t="shared" si="39"/>
        <v>3325.037</v>
      </c>
      <c r="BC38" s="242"/>
      <c r="BD38" s="100"/>
      <c r="BE38" s="145">
        <f t="shared" si="40"/>
        <v>1613.708000000001</v>
      </c>
      <c r="BF38" s="145">
        <f t="shared" si="41"/>
        <v>-527.1899999999998</v>
      </c>
    </row>
    <row r="39" spans="1:58" ht="12.75" hidden="1">
      <c r="A39" s="170" t="s">
        <v>39</v>
      </c>
      <c r="B39" s="225">
        <v>631.9</v>
      </c>
      <c r="C39" s="226">
        <f t="shared" si="24"/>
        <v>5465.935</v>
      </c>
      <c r="D39" s="227">
        <f t="shared" si="25"/>
        <v>2980.0750000000007</v>
      </c>
      <c r="E39" s="248">
        <v>286.87</v>
      </c>
      <c r="F39" s="248">
        <v>0</v>
      </c>
      <c r="G39" s="248">
        <v>388.73</v>
      </c>
      <c r="H39" s="248">
        <v>0</v>
      </c>
      <c r="I39" s="248">
        <v>933.84</v>
      </c>
      <c r="J39" s="248">
        <v>0</v>
      </c>
      <c r="K39" s="248">
        <v>646.91</v>
      </c>
      <c r="L39" s="248">
        <v>0</v>
      </c>
      <c r="M39" s="249">
        <v>229.51</v>
      </c>
      <c r="N39" s="250">
        <v>0</v>
      </c>
      <c r="O39" s="251">
        <v>0</v>
      </c>
      <c r="P39" s="251">
        <v>0</v>
      </c>
      <c r="Q39" s="251"/>
      <c r="R39" s="251"/>
      <c r="S39" s="228">
        <f t="shared" si="26"/>
        <v>2485.8599999999997</v>
      </c>
      <c r="T39" s="232">
        <f t="shared" si="27"/>
        <v>0</v>
      </c>
      <c r="U39" s="228">
        <v>244.48</v>
      </c>
      <c r="V39" s="228">
        <v>331.21</v>
      </c>
      <c r="W39" s="228">
        <v>795.72</v>
      </c>
      <c r="X39" s="228">
        <v>551.17</v>
      </c>
      <c r="Y39" s="228">
        <v>195.59</v>
      </c>
      <c r="Z39" s="228">
        <v>0</v>
      </c>
      <c r="AA39" s="231">
        <v>0</v>
      </c>
      <c r="AB39" s="231">
        <f t="shared" si="42"/>
        <v>2118.17</v>
      </c>
      <c r="AC39" s="233">
        <f t="shared" si="28"/>
        <v>5098.245000000001</v>
      </c>
      <c r="AD39" s="234">
        <f t="shared" si="29"/>
        <v>0</v>
      </c>
      <c r="AE39" s="234">
        <f t="shared" si="30"/>
        <v>0</v>
      </c>
      <c r="AF39" s="234"/>
      <c r="AG39" s="235">
        <f t="shared" si="31"/>
        <v>379.14</v>
      </c>
      <c r="AH39" s="235">
        <f t="shared" si="32"/>
        <v>126.38</v>
      </c>
      <c r="AI39" s="235">
        <f t="shared" si="33"/>
        <v>631.9</v>
      </c>
      <c r="AJ39" s="235">
        <v>0</v>
      </c>
      <c r="AK39" s="235">
        <f t="shared" si="34"/>
        <v>619.262</v>
      </c>
      <c r="AL39" s="235">
        <v>0</v>
      </c>
      <c r="AM39" s="235">
        <f t="shared" si="35"/>
        <v>1421.7749999999999</v>
      </c>
      <c r="AN39" s="235">
        <v>0</v>
      </c>
      <c r="AO39" s="235"/>
      <c r="AP39" s="235"/>
      <c r="AQ39" s="236"/>
      <c r="AR39" s="236"/>
      <c r="AS39" s="237"/>
      <c r="AT39" s="237"/>
      <c r="AU39" s="237">
        <f t="shared" si="36"/>
        <v>0</v>
      </c>
      <c r="AV39" s="238">
        <v>425</v>
      </c>
      <c r="AW39" s="239">
        <v>0.3</v>
      </c>
      <c r="AX39" s="235">
        <f t="shared" si="37"/>
        <v>178.5</v>
      </c>
      <c r="AY39" s="240"/>
      <c r="AZ39" s="241"/>
      <c r="BA39" s="241">
        <f t="shared" si="38"/>
        <v>0</v>
      </c>
      <c r="BB39" s="241">
        <f t="shared" si="39"/>
        <v>3356.957</v>
      </c>
      <c r="BC39" s="242"/>
      <c r="BD39" s="112"/>
      <c r="BE39" s="145">
        <f t="shared" si="40"/>
        <v>1741.288000000001</v>
      </c>
      <c r="BF39" s="145">
        <f t="shared" si="41"/>
        <v>-367.6899999999996</v>
      </c>
    </row>
    <row r="40" spans="1:58" ht="12.75" hidden="1">
      <c r="A40" s="14" t="s">
        <v>40</v>
      </c>
      <c r="B40" s="225">
        <v>631.9</v>
      </c>
      <c r="C40" s="226">
        <f t="shared" si="24"/>
        <v>5465.935</v>
      </c>
      <c r="D40" s="227">
        <f t="shared" si="25"/>
        <v>2980.085000000001</v>
      </c>
      <c r="E40" s="228">
        <v>286.87</v>
      </c>
      <c r="F40" s="228">
        <v>0</v>
      </c>
      <c r="G40" s="228">
        <v>388.73</v>
      </c>
      <c r="H40" s="228">
        <v>0</v>
      </c>
      <c r="I40" s="228">
        <v>933.84</v>
      </c>
      <c r="J40" s="228">
        <v>0</v>
      </c>
      <c r="K40" s="228">
        <v>646.9</v>
      </c>
      <c r="L40" s="228">
        <v>0</v>
      </c>
      <c r="M40" s="229">
        <v>229.51</v>
      </c>
      <c r="N40" s="230">
        <v>0</v>
      </c>
      <c r="O40" s="231">
        <v>0</v>
      </c>
      <c r="P40" s="231">
        <v>0</v>
      </c>
      <c r="Q40" s="231"/>
      <c r="R40" s="231"/>
      <c r="S40" s="228">
        <f t="shared" si="26"/>
        <v>2485.8500000000004</v>
      </c>
      <c r="T40" s="232">
        <f t="shared" si="27"/>
        <v>0</v>
      </c>
      <c r="U40" s="244">
        <v>321.81</v>
      </c>
      <c r="V40" s="228">
        <v>436.12</v>
      </c>
      <c r="W40" s="228">
        <v>1047.62</v>
      </c>
      <c r="X40" s="228">
        <v>725.72</v>
      </c>
      <c r="Y40" s="228">
        <v>257.47</v>
      </c>
      <c r="Z40" s="228">
        <v>0</v>
      </c>
      <c r="AA40" s="231">
        <v>0</v>
      </c>
      <c r="AB40" s="231">
        <f t="shared" si="42"/>
        <v>2788.74</v>
      </c>
      <c r="AC40" s="233">
        <f t="shared" si="28"/>
        <v>5768.825000000001</v>
      </c>
      <c r="AD40" s="234">
        <f t="shared" si="29"/>
        <v>0</v>
      </c>
      <c r="AE40" s="234">
        <f t="shared" si="30"/>
        <v>0</v>
      </c>
      <c r="AF40" s="234"/>
      <c r="AG40" s="235">
        <f t="shared" si="31"/>
        <v>379.14</v>
      </c>
      <c r="AH40" s="235">
        <f t="shared" si="32"/>
        <v>126.38</v>
      </c>
      <c r="AI40" s="235">
        <f t="shared" si="33"/>
        <v>631.9</v>
      </c>
      <c r="AJ40" s="235">
        <v>0</v>
      </c>
      <c r="AK40" s="235">
        <f t="shared" si="34"/>
        <v>619.262</v>
      </c>
      <c r="AL40" s="235">
        <v>0</v>
      </c>
      <c r="AM40" s="235">
        <f t="shared" si="35"/>
        <v>1421.7749999999999</v>
      </c>
      <c r="AN40" s="235">
        <v>0</v>
      </c>
      <c r="AO40" s="235"/>
      <c r="AP40" s="235"/>
      <c r="AQ40" s="236"/>
      <c r="AR40" s="236"/>
      <c r="AS40" s="237"/>
      <c r="AT40" s="237"/>
      <c r="AU40" s="237">
        <f t="shared" si="36"/>
        <v>0</v>
      </c>
      <c r="AV40" s="238">
        <v>470</v>
      </c>
      <c r="AW40" s="239">
        <v>0.3</v>
      </c>
      <c r="AX40" s="235">
        <f t="shared" si="37"/>
        <v>197.39999999999998</v>
      </c>
      <c r="AY40" s="240"/>
      <c r="AZ40" s="241"/>
      <c r="BA40" s="241">
        <f t="shared" si="38"/>
        <v>0</v>
      </c>
      <c r="BB40" s="241">
        <f t="shared" si="39"/>
        <v>3375.857</v>
      </c>
      <c r="BC40" s="242"/>
      <c r="BD40" s="55"/>
      <c r="BE40" s="145">
        <f t="shared" si="40"/>
        <v>2392.9680000000008</v>
      </c>
      <c r="BF40" s="145">
        <f t="shared" si="41"/>
        <v>302.8899999999994</v>
      </c>
    </row>
    <row r="41" spans="1:58" s="146" customFormat="1" ht="12.75" hidden="1">
      <c r="A41" s="147" t="s">
        <v>41</v>
      </c>
      <c r="B41" s="225">
        <v>631.9</v>
      </c>
      <c r="C41" s="226">
        <f t="shared" si="24"/>
        <v>5465.935</v>
      </c>
      <c r="D41" s="252">
        <f>C41-E41-F41-G41-H41-I41-J41-K41-L41-M41-N41+10000</f>
        <v>12980.075</v>
      </c>
      <c r="E41" s="228">
        <v>286.87</v>
      </c>
      <c r="F41" s="228">
        <v>0</v>
      </c>
      <c r="G41" s="228">
        <v>388.73</v>
      </c>
      <c r="H41" s="228">
        <v>0</v>
      </c>
      <c r="I41" s="228">
        <v>933.84</v>
      </c>
      <c r="J41" s="228">
        <v>0</v>
      </c>
      <c r="K41" s="228">
        <v>646.91</v>
      </c>
      <c r="L41" s="228">
        <v>0</v>
      </c>
      <c r="M41" s="229">
        <v>229.51</v>
      </c>
      <c r="N41" s="230">
        <v>0</v>
      </c>
      <c r="O41" s="231">
        <v>0</v>
      </c>
      <c r="P41" s="231">
        <v>0</v>
      </c>
      <c r="Q41" s="231"/>
      <c r="R41" s="231"/>
      <c r="S41" s="228">
        <f t="shared" si="26"/>
        <v>2485.8599999999997</v>
      </c>
      <c r="T41" s="232">
        <f t="shared" si="27"/>
        <v>0</v>
      </c>
      <c r="U41" s="228">
        <v>283.19</v>
      </c>
      <c r="V41" s="228">
        <v>383.65</v>
      </c>
      <c r="W41" s="228">
        <v>921.75</v>
      </c>
      <c r="X41" s="228">
        <v>638.52</v>
      </c>
      <c r="Y41" s="228">
        <v>226.55</v>
      </c>
      <c r="Z41" s="228">
        <v>0</v>
      </c>
      <c r="AA41" s="231">
        <v>0</v>
      </c>
      <c r="AB41" s="231">
        <f t="shared" si="42"/>
        <v>2453.66</v>
      </c>
      <c r="AC41" s="233">
        <f t="shared" si="28"/>
        <v>15433.735</v>
      </c>
      <c r="AD41" s="234">
        <f t="shared" si="29"/>
        <v>0</v>
      </c>
      <c r="AE41" s="234">
        <f t="shared" si="30"/>
        <v>0</v>
      </c>
      <c r="AF41" s="234"/>
      <c r="AG41" s="235">
        <f t="shared" si="31"/>
        <v>379.14</v>
      </c>
      <c r="AH41" s="235">
        <f t="shared" si="32"/>
        <v>126.38</v>
      </c>
      <c r="AI41" s="235">
        <f t="shared" si="33"/>
        <v>631.9</v>
      </c>
      <c r="AJ41" s="235">
        <v>0</v>
      </c>
      <c r="AK41" s="235">
        <f t="shared" si="34"/>
        <v>619.262</v>
      </c>
      <c r="AL41" s="235">
        <v>0</v>
      </c>
      <c r="AM41" s="235">
        <f t="shared" si="35"/>
        <v>1421.7749999999999</v>
      </c>
      <c r="AN41" s="235">
        <v>0</v>
      </c>
      <c r="AO41" s="235"/>
      <c r="AP41" s="235"/>
      <c r="AQ41" s="236"/>
      <c r="AR41" s="236"/>
      <c r="AS41" s="237"/>
      <c r="AT41" s="237">
        <v>11151</v>
      </c>
      <c r="AU41" s="237">
        <f>0*0.18</f>
        <v>0</v>
      </c>
      <c r="AV41" s="238">
        <v>514</v>
      </c>
      <c r="AW41" s="239">
        <v>0.3</v>
      </c>
      <c r="AX41" s="235">
        <f t="shared" si="37"/>
        <v>215.87999999999997</v>
      </c>
      <c r="AY41" s="240"/>
      <c r="AZ41" s="241"/>
      <c r="BA41" s="241">
        <f t="shared" si="38"/>
        <v>0</v>
      </c>
      <c r="BB41" s="241">
        <f t="shared" si="39"/>
        <v>14545.337</v>
      </c>
      <c r="BC41" s="242"/>
      <c r="BD41" s="79"/>
      <c r="BE41" s="145">
        <f t="shared" si="40"/>
        <v>888.398000000001</v>
      </c>
      <c r="BF41" s="145">
        <f t="shared" si="41"/>
        <v>-32.19999999999982</v>
      </c>
    </row>
    <row r="42" spans="1:58" s="24" customFormat="1" ht="12.75" hidden="1">
      <c r="A42" s="19" t="s">
        <v>3</v>
      </c>
      <c r="B42" s="20"/>
      <c r="C42" s="20">
        <f>SUM(C30:C41)</f>
        <v>65584.29999999999</v>
      </c>
      <c r="D42" s="20">
        <f aca="true" t="shared" si="43" ref="D42:BF42">SUM(D30:D41)</f>
        <v>45774.20000000001</v>
      </c>
      <c r="E42" s="20">
        <f t="shared" si="43"/>
        <v>3143.4099999999994</v>
      </c>
      <c r="F42" s="20">
        <f t="shared" si="43"/>
        <v>296.81</v>
      </c>
      <c r="G42" s="20">
        <f t="shared" si="43"/>
        <v>4259.35</v>
      </c>
      <c r="H42" s="20">
        <f t="shared" si="43"/>
        <v>402.29999999999995</v>
      </c>
      <c r="I42" s="20">
        <f t="shared" si="43"/>
        <v>10232.37</v>
      </c>
      <c r="J42" s="20">
        <f t="shared" si="43"/>
        <v>965.9499999999999</v>
      </c>
      <c r="K42" s="20">
        <f t="shared" si="43"/>
        <v>7088.369999999999</v>
      </c>
      <c r="L42" s="20">
        <f t="shared" si="43"/>
        <v>669.36</v>
      </c>
      <c r="M42" s="20">
        <f t="shared" si="43"/>
        <v>2514.7800000000007</v>
      </c>
      <c r="N42" s="20">
        <f t="shared" si="43"/>
        <v>237.39999999999998</v>
      </c>
      <c r="O42" s="20">
        <f t="shared" si="43"/>
        <v>0</v>
      </c>
      <c r="P42" s="20">
        <f t="shared" si="43"/>
        <v>0</v>
      </c>
      <c r="Q42" s="20">
        <f t="shared" si="43"/>
        <v>0</v>
      </c>
      <c r="R42" s="20">
        <f t="shared" si="43"/>
        <v>0</v>
      </c>
      <c r="S42" s="20">
        <f t="shared" si="43"/>
        <v>27238.280000000006</v>
      </c>
      <c r="T42" s="20">
        <f t="shared" si="43"/>
        <v>2571.82</v>
      </c>
      <c r="U42" s="20">
        <f t="shared" si="43"/>
        <v>2780.0099999999998</v>
      </c>
      <c r="V42" s="20">
        <f t="shared" si="43"/>
        <v>3765.73</v>
      </c>
      <c r="W42" s="20">
        <f t="shared" si="43"/>
        <v>9048.14</v>
      </c>
      <c r="X42" s="20">
        <f t="shared" si="43"/>
        <v>6267.710000000001</v>
      </c>
      <c r="Y42" s="20">
        <f t="shared" si="43"/>
        <v>2224.03</v>
      </c>
      <c r="Z42" s="20">
        <f t="shared" si="43"/>
        <v>0</v>
      </c>
      <c r="AA42" s="20">
        <f t="shared" si="43"/>
        <v>0</v>
      </c>
      <c r="AB42" s="20">
        <f t="shared" si="43"/>
        <v>24085.62</v>
      </c>
      <c r="AC42" s="20">
        <f t="shared" si="43"/>
        <v>72431.64000000001</v>
      </c>
      <c r="AD42" s="20">
        <f t="shared" si="43"/>
        <v>0</v>
      </c>
      <c r="AE42" s="20">
        <f t="shared" si="43"/>
        <v>0</v>
      </c>
      <c r="AF42" s="20">
        <f t="shared" si="43"/>
        <v>0</v>
      </c>
      <c r="AG42" s="20">
        <f t="shared" si="43"/>
        <v>4549.2</v>
      </c>
      <c r="AH42" s="20">
        <f t="shared" si="43"/>
        <v>1516.4</v>
      </c>
      <c r="AI42" s="20">
        <f t="shared" si="43"/>
        <v>7581.999999999998</v>
      </c>
      <c r="AJ42" s="20">
        <f t="shared" si="43"/>
        <v>0</v>
      </c>
      <c r="AK42" s="20">
        <f t="shared" si="43"/>
        <v>7430.359999999998</v>
      </c>
      <c r="AL42" s="20">
        <f t="shared" si="43"/>
        <v>0</v>
      </c>
      <c r="AM42" s="20">
        <f t="shared" si="43"/>
        <v>17059.5</v>
      </c>
      <c r="AN42" s="20">
        <f t="shared" si="43"/>
        <v>0</v>
      </c>
      <c r="AO42" s="20">
        <f t="shared" si="43"/>
        <v>0</v>
      </c>
      <c r="AP42" s="20">
        <f t="shared" si="43"/>
        <v>0</v>
      </c>
      <c r="AQ42" s="194">
        <f t="shared" si="43"/>
        <v>0</v>
      </c>
      <c r="AR42" s="194">
        <f t="shared" si="43"/>
        <v>0</v>
      </c>
      <c r="AS42" s="21">
        <f t="shared" si="43"/>
        <v>1458</v>
      </c>
      <c r="AT42" s="21">
        <f t="shared" si="43"/>
        <v>11198.8</v>
      </c>
      <c r="AU42" s="21">
        <f t="shared" si="43"/>
        <v>0</v>
      </c>
      <c r="AV42" s="20">
        <f t="shared" si="43"/>
        <v>4400</v>
      </c>
      <c r="AW42" s="20">
        <f t="shared" si="43"/>
        <v>3.599999999999999</v>
      </c>
      <c r="AX42" s="20">
        <f t="shared" si="43"/>
        <v>1847.9999999999998</v>
      </c>
      <c r="AY42" s="20">
        <f t="shared" si="43"/>
        <v>0</v>
      </c>
      <c r="AZ42" s="20">
        <f t="shared" si="43"/>
        <v>0</v>
      </c>
      <c r="BA42" s="20">
        <f t="shared" si="43"/>
        <v>0</v>
      </c>
      <c r="BB42" s="20">
        <f t="shared" si="43"/>
        <v>52642.259999999995</v>
      </c>
      <c r="BC42" s="20">
        <f t="shared" si="43"/>
        <v>0</v>
      </c>
      <c r="BD42" s="20">
        <f t="shared" si="43"/>
        <v>0</v>
      </c>
      <c r="BE42" s="20">
        <f t="shared" si="43"/>
        <v>19789.380000000012</v>
      </c>
      <c r="BF42" s="190">
        <f t="shared" si="43"/>
        <v>-3152.659999999998</v>
      </c>
    </row>
    <row r="43" spans="1:58" s="24" customFormat="1" ht="12.75" hidden="1">
      <c r="A43" s="19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22"/>
      <c r="W43" s="22"/>
      <c r="X43" s="22"/>
      <c r="Y43" s="22"/>
      <c r="Z43" s="22"/>
      <c r="AA43" s="22"/>
      <c r="AB43" s="22"/>
      <c r="AC43" s="22"/>
      <c r="AD43" s="102"/>
      <c r="AE43" s="102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75"/>
      <c r="AQ43" s="195"/>
      <c r="AR43" s="195"/>
      <c r="AS43" s="75"/>
      <c r="AT43" s="75"/>
      <c r="AU43" s="75"/>
      <c r="AV43" s="23"/>
      <c r="AW43" s="23"/>
      <c r="AX43" s="82"/>
      <c r="AY43" s="53"/>
      <c r="AZ43" s="53"/>
      <c r="BA43" s="53"/>
      <c r="BB43" s="53"/>
      <c r="BC43" s="53"/>
      <c r="BD43" s="53"/>
      <c r="BE43" s="53"/>
      <c r="BF43" s="191"/>
    </row>
    <row r="44" spans="1:58" s="24" customFormat="1" ht="13.5" thickBot="1">
      <c r="A44" s="27" t="s">
        <v>52</v>
      </c>
      <c r="B44" s="28"/>
      <c r="C44" s="28">
        <f>C28+C42</f>
        <v>147547.375</v>
      </c>
      <c r="D44" s="28">
        <f aca="true" t="shared" si="44" ref="D44:AI44">D28+D42</f>
        <v>76266.48957255002</v>
      </c>
      <c r="E44" s="28">
        <f t="shared" si="44"/>
        <v>6627.789999999999</v>
      </c>
      <c r="F44" s="28">
        <f t="shared" si="44"/>
        <v>922.51</v>
      </c>
      <c r="G44" s="28">
        <f t="shared" si="44"/>
        <v>8972.5</v>
      </c>
      <c r="H44" s="28">
        <f t="shared" si="44"/>
        <v>1248.9499999999998</v>
      </c>
      <c r="I44" s="28">
        <f t="shared" si="44"/>
        <v>21566.68</v>
      </c>
      <c r="J44" s="28">
        <f t="shared" si="44"/>
        <v>3001.1000000000004</v>
      </c>
      <c r="K44" s="28">
        <f t="shared" si="44"/>
        <v>14937.3</v>
      </c>
      <c r="L44" s="28">
        <f t="shared" si="44"/>
        <v>2079.13</v>
      </c>
      <c r="M44" s="28">
        <f t="shared" si="44"/>
        <v>5302.14</v>
      </c>
      <c r="N44" s="28">
        <f t="shared" si="44"/>
        <v>737.88</v>
      </c>
      <c r="O44" s="28">
        <f t="shared" si="44"/>
        <v>0</v>
      </c>
      <c r="P44" s="28">
        <f t="shared" si="44"/>
        <v>0</v>
      </c>
      <c r="Q44" s="28">
        <f t="shared" si="44"/>
        <v>0</v>
      </c>
      <c r="R44" s="28">
        <f t="shared" si="44"/>
        <v>0</v>
      </c>
      <c r="S44" s="28">
        <f t="shared" si="44"/>
        <v>57406.41</v>
      </c>
      <c r="T44" s="28">
        <f t="shared" si="44"/>
        <v>7989.57</v>
      </c>
      <c r="U44" s="28">
        <f t="shared" si="44"/>
        <v>5705.59</v>
      </c>
      <c r="V44" s="28">
        <f t="shared" si="44"/>
        <v>7722.400000000001</v>
      </c>
      <c r="W44" s="28">
        <f t="shared" si="44"/>
        <v>18564.28</v>
      </c>
      <c r="X44" s="28">
        <f t="shared" si="44"/>
        <v>12857.210000000001</v>
      </c>
      <c r="Y44" s="28">
        <f t="shared" si="44"/>
        <v>4564.33</v>
      </c>
      <c r="Z44" s="28">
        <f t="shared" si="44"/>
        <v>0</v>
      </c>
      <c r="AA44" s="28">
        <f t="shared" si="44"/>
        <v>0</v>
      </c>
      <c r="AB44" s="28">
        <f t="shared" si="44"/>
        <v>49413.81</v>
      </c>
      <c r="AC44" s="28">
        <f t="shared" si="44"/>
        <v>133669.86957255003</v>
      </c>
      <c r="AD44" s="28">
        <f t="shared" si="44"/>
        <v>0</v>
      </c>
      <c r="AE44" s="28">
        <f t="shared" si="44"/>
        <v>0</v>
      </c>
      <c r="AF44" s="28">
        <f t="shared" si="44"/>
        <v>0</v>
      </c>
      <c r="AG44" s="28">
        <f t="shared" si="44"/>
        <v>10082.892</v>
      </c>
      <c r="AH44" s="28">
        <f t="shared" si="44"/>
        <v>3378.5960104</v>
      </c>
      <c r="AI44" s="28">
        <f t="shared" si="44"/>
        <v>15341.294811749998</v>
      </c>
      <c r="AJ44" s="28">
        <f aca="true" t="shared" si="45" ref="AJ44:BF44">AJ28+AJ42</f>
        <v>1396.6730661150002</v>
      </c>
      <c r="AK44" s="28">
        <f t="shared" si="45"/>
        <v>15281.537889149997</v>
      </c>
      <c r="AL44" s="28">
        <f t="shared" si="45"/>
        <v>1413.212020047</v>
      </c>
      <c r="AM44" s="28">
        <f t="shared" si="45"/>
        <v>34252.847788174404</v>
      </c>
      <c r="AN44" s="28">
        <f t="shared" si="45"/>
        <v>3094.8026018713927</v>
      </c>
      <c r="AO44" s="28">
        <f t="shared" si="45"/>
        <v>0</v>
      </c>
      <c r="AP44" s="28">
        <f t="shared" si="45"/>
        <v>0</v>
      </c>
      <c r="AQ44" s="198">
        <f t="shared" si="45"/>
        <v>0</v>
      </c>
      <c r="AR44" s="198">
        <f t="shared" si="45"/>
        <v>0</v>
      </c>
      <c r="AS44" s="197">
        <f t="shared" si="45"/>
        <v>18433.91</v>
      </c>
      <c r="AT44" s="197">
        <f t="shared" si="45"/>
        <v>11198.8</v>
      </c>
      <c r="AU44" s="197">
        <f t="shared" si="45"/>
        <v>3055.6737999999996</v>
      </c>
      <c r="AV44" s="28">
        <f t="shared" si="45"/>
        <v>8800</v>
      </c>
      <c r="AW44" s="28">
        <f t="shared" si="45"/>
        <v>7.199999999999998</v>
      </c>
      <c r="AX44" s="28">
        <f t="shared" si="45"/>
        <v>3592.5119999999997</v>
      </c>
      <c r="AY44" s="28">
        <f t="shared" si="45"/>
        <v>0</v>
      </c>
      <c r="AZ44" s="28">
        <f t="shared" si="45"/>
        <v>0</v>
      </c>
      <c r="BA44" s="28">
        <f t="shared" si="45"/>
        <v>0</v>
      </c>
      <c r="BB44" s="28">
        <f t="shared" si="45"/>
        <v>120522.7519875078</v>
      </c>
      <c r="BC44" s="28">
        <f t="shared" si="45"/>
        <v>0</v>
      </c>
      <c r="BD44" s="28">
        <f t="shared" si="45"/>
        <v>67880.4919875078</v>
      </c>
      <c r="BE44" s="28">
        <f t="shared" si="45"/>
        <v>13147.117585042217</v>
      </c>
      <c r="BF44" s="28">
        <f t="shared" si="45"/>
        <v>-7992.599999999996</v>
      </c>
    </row>
  </sheetData>
  <sheetProtection/>
  <mergeCells count="67">
    <mergeCell ref="BF3:BF6"/>
    <mergeCell ref="BD4:BD6"/>
    <mergeCell ref="BC3:BD3"/>
    <mergeCell ref="AV5:AX5"/>
    <mergeCell ref="AY5:AY6"/>
    <mergeCell ref="AZ5:AZ6"/>
    <mergeCell ref="BA5:BA6"/>
    <mergeCell ref="BB5:BB6"/>
    <mergeCell ref="AG3:BB4"/>
    <mergeCell ref="AQ5:AQ6"/>
    <mergeCell ref="R5:R6"/>
    <mergeCell ref="BE3:BE6"/>
    <mergeCell ref="BC4:BC6"/>
    <mergeCell ref="AF3:AF6"/>
    <mergeCell ref="U3:AB4"/>
    <mergeCell ref="AG5:AG6"/>
    <mergeCell ref="AH5:AH6"/>
    <mergeCell ref="AA5:AA6"/>
    <mergeCell ref="S3:T4"/>
    <mergeCell ref="S5:S6"/>
    <mergeCell ref="E3:F4"/>
    <mergeCell ref="G3:H4"/>
    <mergeCell ref="I3:J4"/>
    <mergeCell ref="K3:L4"/>
    <mergeCell ref="M3:N4"/>
    <mergeCell ref="O3:P4"/>
    <mergeCell ref="O5:O6"/>
    <mergeCell ref="Q3:R4"/>
    <mergeCell ref="M5:M6"/>
    <mergeCell ref="A1:N1"/>
    <mergeCell ref="A3:A6"/>
    <mergeCell ref="B3:B6"/>
    <mergeCell ref="C3:C6"/>
    <mergeCell ref="D3:D6"/>
    <mergeCell ref="N5:N6"/>
    <mergeCell ref="P5:P6"/>
    <mergeCell ref="Q5:Q6"/>
    <mergeCell ref="AB5:AB6"/>
    <mergeCell ref="AE3:AE6"/>
    <mergeCell ref="AD3:AD6"/>
    <mergeCell ref="AK5:AK6"/>
    <mergeCell ref="AI5:AI6"/>
    <mergeCell ref="AJ5:AJ6"/>
    <mergeCell ref="AC3:AC6"/>
    <mergeCell ref="AL5:AL6"/>
    <mergeCell ref="E5:E6"/>
    <mergeCell ref="F5:F6"/>
    <mergeCell ref="G5:G6"/>
    <mergeCell ref="H5:H6"/>
    <mergeCell ref="I5:I6"/>
    <mergeCell ref="J5:J6"/>
    <mergeCell ref="K5:K6"/>
    <mergeCell ref="L5:L6"/>
    <mergeCell ref="Z5:Z6"/>
    <mergeCell ref="X5:X6"/>
    <mergeCell ref="Y5:Y6"/>
    <mergeCell ref="T5:T6"/>
    <mergeCell ref="U5:U6"/>
    <mergeCell ref="V5:V6"/>
    <mergeCell ref="W5:W6"/>
    <mergeCell ref="AS5:AS6"/>
    <mergeCell ref="AT5:AT6"/>
    <mergeCell ref="AM5:AM6"/>
    <mergeCell ref="AN5:AN6"/>
    <mergeCell ref="AO5:AO6"/>
    <mergeCell ref="AP5:AP6"/>
    <mergeCell ref="AR5:AR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1">
      <selection activeCell="A35" sqref="A35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375" style="2" customWidth="1"/>
    <col min="15" max="15" width="10.75390625" style="2" customWidth="1"/>
    <col min="16" max="16" width="13.375" style="2" customWidth="1"/>
    <col min="17" max="16384" width="9.125" style="2" customWidth="1"/>
  </cols>
  <sheetData>
    <row r="1" ht="18.75">
      <c r="E1" s="29" t="s">
        <v>53</v>
      </c>
    </row>
    <row r="2" ht="18.75">
      <c r="E2" s="29" t="s">
        <v>54</v>
      </c>
    </row>
    <row r="6" spans="1:15" ht="12.75">
      <c r="A6" s="457" t="s">
        <v>90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</row>
    <row r="7" spans="1:15" ht="12.75">
      <c r="A7" s="445" t="s">
        <v>55</v>
      </c>
      <c r="B7" s="445"/>
      <c r="C7" s="445"/>
      <c r="D7" s="445"/>
      <c r="E7" s="445"/>
      <c r="F7" s="445"/>
      <c r="G7" s="445"/>
      <c r="H7" s="97"/>
      <c r="I7" s="97"/>
      <c r="J7" s="97"/>
      <c r="K7" s="97"/>
      <c r="L7" s="97"/>
      <c r="M7" s="97"/>
      <c r="N7" s="97"/>
      <c r="O7" s="97"/>
    </row>
    <row r="8" spans="1:15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5" ht="13.5" thickBot="1">
      <c r="A9" s="31" t="s">
        <v>56</v>
      </c>
      <c r="D9" s="4"/>
      <c r="E9" s="31">
        <v>8.65</v>
      </c>
    </row>
    <row r="10" spans="1:16" ht="12.75" customHeight="1">
      <c r="A10" s="458" t="s">
        <v>57</v>
      </c>
      <c r="B10" s="461" t="s">
        <v>0</v>
      </c>
      <c r="C10" s="464" t="s">
        <v>58</v>
      </c>
      <c r="D10" s="467" t="s">
        <v>2</v>
      </c>
      <c r="E10" s="403" t="s">
        <v>59</v>
      </c>
      <c r="F10" s="403"/>
      <c r="G10" s="453" t="s">
        <v>74</v>
      </c>
      <c r="H10" s="454"/>
      <c r="I10" s="471" t="s">
        <v>8</v>
      </c>
      <c r="J10" s="472"/>
      <c r="K10" s="472"/>
      <c r="L10" s="472"/>
      <c r="M10" s="472"/>
      <c r="N10" s="473"/>
      <c r="O10" s="477" t="s">
        <v>60</v>
      </c>
      <c r="P10" s="446" t="s">
        <v>89</v>
      </c>
    </row>
    <row r="11" spans="1:16" ht="12.75">
      <c r="A11" s="459"/>
      <c r="B11" s="462"/>
      <c r="C11" s="465"/>
      <c r="D11" s="468"/>
      <c r="E11" s="470"/>
      <c r="F11" s="470"/>
      <c r="G11" s="455"/>
      <c r="H11" s="456"/>
      <c r="I11" s="474"/>
      <c r="J11" s="475"/>
      <c r="K11" s="475"/>
      <c r="L11" s="475"/>
      <c r="M11" s="475"/>
      <c r="N11" s="476"/>
      <c r="O11" s="478"/>
      <c r="P11" s="447"/>
    </row>
    <row r="12" spans="1:16" ht="26.25" customHeight="1">
      <c r="A12" s="459"/>
      <c r="B12" s="462"/>
      <c r="C12" s="465"/>
      <c r="D12" s="468"/>
      <c r="E12" s="408" t="s">
        <v>61</v>
      </c>
      <c r="F12" s="408"/>
      <c r="G12" s="123" t="s">
        <v>62</v>
      </c>
      <c r="H12" s="449" t="s">
        <v>5</v>
      </c>
      <c r="I12" s="451" t="s">
        <v>63</v>
      </c>
      <c r="J12" s="443" t="s">
        <v>30</v>
      </c>
      <c r="K12" s="443" t="s">
        <v>64</v>
      </c>
      <c r="L12" s="443" t="s">
        <v>35</v>
      </c>
      <c r="M12" s="443" t="s">
        <v>65</v>
      </c>
      <c r="N12" s="441" t="s">
        <v>37</v>
      </c>
      <c r="O12" s="478"/>
      <c r="P12" s="447"/>
    </row>
    <row r="13" spans="1:16" ht="66.75" customHeight="1" thickBot="1">
      <c r="A13" s="460"/>
      <c r="B13" s="463"/>
      <c r="C13" s="466"/>
      <c r="D13" s="469"/>
      <c r="E13" s="202" t="s">
        <v>66</v>
      </c>
      <c r="F13" s="118" t="s">
        <v>19</v>
      </c>
      <c r="G13" s="96" t="s">
        <v>75</v>
      </c>
      <c r="H13" s="450"/>
      <c r="I13" s="452"/>
      <c r="J13" s="444"/>
      <c r="K13" s="444"/>
      <c r="L13" s="444"/>
      <c r="M13" s="444"/>
      <c r="N13" s="442"/>
      <c r="O13" s="479"/>
      <c r="P13" s="448"/>
    </row>
    <row r="14" spans="1:16" ht="13.5" thickBot="1">
      <c r="A14" s="33">
        <v>1</v>
      </c>
      <c r="B14" s="34">
        <v>2</v>
      </c>
      <c r="C14" s="36">
        <v>3</v>
      </c>
      <c r="D14" s="38">
        <v>4</v>
      </c>
      <c r="E14" s="37">
        <v>5</v>
      </c>
      <c r="F14" s="35">
        <v>6</v>
      </c>
      <c r="G14" s="33">
        <v>7</v>
      </c>
      <c r="H14" s="92">
        <v>8</v>
      </c>
      <c r="I14" s="37">
        <v>9</v>
      </c>
      <c r="J14" s="34">
        <v>10</v>
      </c>
      <c r="K14" s="34">
        <v>11</v>
      </c>
      <c r="L14" s="34">
        <v>12</v>
      </c>
      <c r="M14" s="34">
        <v>13</v>
      </c>
      <c r="N14" s="83">
        <v>14</v>
      </c>
      <c r="O14" s="38">
        <v>15</v>
      </c>
      <c r="P14" s="108">
        <v>16</v>
      </c>
    </row>
    <row r="15" spans="1:16" ht="12.75" hidden="1">
      <c r="A15" s="8" t="s">
        <v>38</v>
      </c>
      <c r="B15" s="9"/>
      <c r="C15" s="11"/>
      <c r="D15" s="40"/>
      <c r="E15" s="39"/>
      <c r="F15" s="32"/>
      <c r="G15" s="8"/>
      <c r="H15" s="93"/>
      <c r="I15" s="39"/>
      <c r="J15" s="9"/>
      <c r="K15" s="9"/>
      <c r="L15" s="9"/>
      <c r="M15" s="9"/>
      <c r="N15" s="84"/>
      <c r="O15" s="40"/>
      <c r="P15" s="109"/>
    </row>
    <row r="16" spans="1:16" ht="12.75" hidden="1">
      <c r="A16" s="14" t="s">
        <v>39</v>
      </c>
      <c r="B16" s="15">
        <f>Лист1!B9</f>
        <v>631.7</v>
      </c>
      <c r="C16" s="131">
        <f>Лист1!C9</f>
        <v>5464.205000000001</v>
      </c>
      <c r="D16" s="203">
        <f>Лист1!D9</f>
        <v>1316.2177004000002</v>
      </c>
      <c r="E16" s="41">
        <f>Лист1!S9</f>
        <v>3807.2400000000002</v>
      </c>
      <c r="F16" s="79">
        <f>Лист1!T9</f>
        <v>676.4300000000001</v>
      </c>
      <c r="G16" s="42">
        <f>Лист1!AB9</f>
        <v>158.60999999999999</v>
      </c>
      <c r="H16" s="124">
        <f>Лист1!AC9</f>
        <v>2151.2577004000004</v>
      </c>
      <c r="I16" s="41">
        <f>Лист1!AG9</f>
        <v>379.02000000000004</v>
      </c>
      <c r="J16" s="16">
        <f>Лист1!AI9+Лист1!AJ9</f>
        <v>634.9368308</v>
      </c>
      <c r="K16" s="16">
        <f>Лист1!AH9+Лист1!AK9+Лист1!AL9+Лист1!AM9+Лист1!AN9+Лист1!AO9+Лист1!AP9+Лист1!AQ9+Лист1!AR9</f>
        <v>2229.5176212700003</v>
      </c>
      <c r="L16" s="17">
        <f>Лист1!AS9+Лист1!AT9+Лист1!AU9</f>
        <v>7238.0138</v>
      </c>
      <c r="M16" s="17">
        <f>Лист1!AX9</f>
        <v>0</v>
      </c>
      <c r="N16" s="106">
        <f>SUM(I16:M16)</f>
        <v>10481.488252070001</v>
      </c>
      <c r="O16" s="43">
        <f>Лист1!BE9</f>
        <v>-8330.23055167</v>
      </c>
      <c r="P16" s="110">
        <f>Лист1!BF9</f>
        <v>-3648.63</v>
      </c>
    </row>
    <row r="17" spans="1:16" ht="12.75" hidden="1">
      <c r="A17" s="14" t="s">
        <v>40</v>
      </c>
      <c r="B17" s="15">
        <f>Лист1!B10</f>
        <v>631.7</v>
      </c>
      <c r="C17" s="131">
        <f>Лист1!C10</f>
        <v>5464.205000000001</v>
      </c>
      <c r="D17" s="203">
        <f>Лист1!D10</f>
        <v>1316.2177004000002</v>
      </c>
      <c r="E17" s="41">
        <f>Лист1!S10</f>
        <v>-0.12</v>
      </c>
      <c r="F17" s="79">
        <f>Лист1!T10</f>
        <v>0.06999999999999999</v>
      </c>
      <c r="G17" s="42">
        <f>Лист1!AB10</f>
        <v>2406.8100000000004</v>
      </c>
      <c r="H17" s="124">
        <f>Лист1!AC10</f>
        <v>3723.0977004000006</v>
      </c>
      <c r="I17" s="41">
        <f>Лист1!AG10</f>
        <v>379.02000000000004</v>
      </c>
      <c r="J17" s="16">
        <f>Лист1!AI10+Лист1!AJ10</f>
        <v>634.9368308</v>
      </c>
      <c r="K17" s="16">
        <f>Лист1!AH10+Лист1!AK10+Лист1!AL10+Лист1!AM10+Лист1!AN10+Лист1!AO10+Лист1!AP10+Лист1!AQ10+Лист1!AR10</f>
        <v>2222.7887528700003</v>
      </c>
      <c r="L17" s="17">
        <f>Лист1!AS10+Лист1!AT10+Лист1!AU10</f>
        <v>601.8</v>
      </c>
      <c r="M17" s="17">
        <f>Лист1!AX10</f>
        <v>0</v>
      </c>
      <c r="N17" s="106">
        <f>SUM(I17:M17)</f>
        <v>3838.5455836700003</v>
      </c>
      <c r="O17" s="43">
        <f>Лист1!BE10</f>
        <v>-115.44788327000015</v>
      </c>
      <c r="P17" s="110">
        <f>Лист1!BF10</f>
        <v>2406.9300000000003</v>
      </c>
    </row>
    <row r="18" spans="1:18" ht="13.5" hidden="1" thickBot="1">
      <c r="A18" s="44" t="s">
        <v>41</v>
      </c>
      <c r="B18" s="65">
        <f>Лист1!B11</f>
        <v>631.7</v>
      </c>
      <c r="C18" s="132">
        <f>Лист1!C11</f>
        <v>5464.205000000001</v>
      </c>
      <c r="D18" s="204">
        <f>Лист1!D11</f>
        <v>1313.3216717500002</v>
      </c>
      <c r="E18" s="66">
        <f>Лист1!S11</f>
        <v>1903.55</v>
      </c>
      <c r="F18" s="119">
        <f>Лист1!T11</f>
        <v>338.25000000000006</v>
      </c>
      <c r="G18" s="67">
        <f>Лист1!AB11</f>
        <v>431.12</v>
      </c>
      <c r="H18" s="125">
        <f>Лист1!AC11</f>
        <v>2082.6916717500003</v>
      </c>
      <c r="I18" s="41">
        <f>Лист1!AG11</f>
        <v>379.02000000000004</v>
      </c>
      <c r="J18" s="16">
        <f>Лист1!AI11+Лист1!AJ11</f>
        <v>633.08822392</v>
      </c>
      <c r="K18" s="16">
        <f>Лист1!AH11+Лист1!AK11+Лист1!AL11+Лист1!AM11+Лист1!AN11+Лист1!AO11+Лист1!AP11+Лист1!AQ11+Лист1!AR11</f>
        <v>2219.254789341</v>
      </c>
      <c r="L18" s="17">
        <f>Лист1!AS11+Лист1!AT11+Лист1!AU11</f>
        <v>0</v>
      </c>
      <c r="M18" s="17">
        <f>Лист1!AX11</f>
        <v>0</v>
      </c>
      <c r="N18" s="106">
        <f>SUM(I18:M18)</f>
        <v>3231.363013261</v>
      </c>
      <c r="O18" s="43">
        <f>Лист1!BE11</f>
        <v>-1148.6713415109998</v>
      </c>
      <c r="P18" s="110">
        <f>Лист1!BF11</f>
        <v>-1472.4299999999998</v>
      </c>
      <c r="Q18" s="1"/>
      <c r="R18" s="1"/>
    </row>
    <row r="19" spans="1:18" s="24" customFormat="1" ht="13.5" hidden="1" thickBot="1">
      <c r="A19" s="45" t="s">
        <v>3</v>
      </c>
      <c r="B19" s="71"/>
      <c r="C19" s="73">
        <f>SUM(C16:C18)</f>
        <v>16392.615</v>
      </c>
      <c r="D19" s="116">
        <f aca="true" t="shared" si="0" ref="D19:P19">SUM(D16:D18)</f>
        <v>3945.757072550001</v>
      </c>
      <c r="E19" s="77">
        <f t="shared" si="0"/>
        <v>5710.67</v>
      </c>
      <c r="F19" s="72">
        <f t="shared" si="0"/>
        <v>1014.7500000000002</v>
      </c>
      <c r="G19" s="78">
        <f t="shared" si="0"/>
        <v>2996.5400000000004</v>
      </c>
      <c r="H19" s="126">
        <f t="shared" si="0"/>
        <v>7957.047072550002</v>
      </c>
      <c r="I19" s="77">
        <f t="shared" si="0"/>
        <v>1137.0600000000002</v>
      </c>
      <c r="J19" s="72">
        <f t="shared" si="0"/>
        <v>1902.9618855200001</v>
      </c>
      <c r="K19" s="72">
        <f t="shared" si="0"/>
        <v>6671.561163481</v>
      </c>
      <c r="L19" s="72">
        <f t="shared" si="0"/>
        <v>7839.8138</v>
      </c>
      <c r="M19" s="72">
        <f t="shared" si="0"/>
        <v>0</v>
      </c>
      <c r="N19" s="85">
        <f t="shared" si="0"/>
        <v>17551.396849001</v>
      </c>
      <c r="O19" s="116">
        <f t="shared" si="0"/>
        <v>-9594.349776451</v>
      </c>
      <c r="P19" s="111">
        <f t="shared" si="0"/>
        <v>-2714.1299999999997</v>
      </c>
      <c r="Q19" s="52"/>
      <c r="R19" s="53"/>
    </row>
    <row r="20" spans="1:18" ht="12.75" hidden="1">
      <c r="A20" s="8" t="s">
        <v>42</v>
      </c>
      <c r="B20" s="68"/>
      <c r="C20" s="133"/>
      <c r="D20" s="205"/>
      <c r="E20" s="56"/>
      <c r="F20" s="120"/>
      <c r="G20" s="57"/>
      <c r="H20" s="127"/>
      <c r="I20" s="56"/>
      <c r="J20" s="54"/>
      <c r="K20" s="54"/>
      <c r="L20" s="69"/>
      <c r="M20" s="69"/>
      <c r="N20" s="107"/>
      <c r="O20" s="70"/>
      <c r="P20" s="112"/>
      <c r="Q20" s="1"/>
      <c r="R20" s="1"/>
    </row>
    <row r="21" spans="1:18" ht="12.75" hidden="1">
      <c r="A21" s="14" t="s">
        <v>43</v>
      </c>
      <c r="B21" s="15">
        <f>Лист1!B14</f>
        <v>631.7</v>
      </c>
      <c r="C21" s="131">
        <f>Лист1!C14</f>
        <v>5464.205000000001</v>
      </c>
      <c r="D21" s="203">
        <f>Лист1!D14</f>
        <v>683.0256250000001</v>
      </c>
      <c r="E21" s="41">
        <f>Лист1!S14</f>
        <v>1897.57</v>
      </c>
      <c r="F21" s="79">
        <f>Лист1!T14</f>
        <v>338.25000000000006</v>
      </c>
      <c r="G21" s="42">
        <f>Лист1!AB14</f>
        <v>1347.11</v>
      </c>
      <c r="H21" s="124">
        <f>Лист1!AC14</f>
        <v>2368.385625</v>
      </c>
      <c r="I21" s="41">
        <f>Лист1!AG14</f>
        <v>341.11800000000005</v>
      </c>
      <c r="J21" s="16">
        <f>Лист1!AI14+Лист1!AJ14</f>
        <v>549.3033517000001</v>
      </c>
      <c r="K21" s="16">
        <f>Лист1!AH14+Лист1!AK14+Лист1!AL14+Лист1!AM14+Лист1!AN14+Лист1!AO14+Лист1!AP14+Лист1!AQ14+Лист1!AR14</f>
        <v>1886.546516686</v>
      </c>
      <c r="L21" s="17">
        <f>Лист1!AS14+Лист1!AT14+Лист1!AU14</f>
        <v>11446.01</v>
      </c>
      <c r="M21" s="17">
        <f>Лист1!AX14</f>
        <v>201.41184</v>
      </c>
      <c r="N21" s="106">
        <f>SUM(I21:M21)</f>
        <v>14424.389708386001</v>
      </c>
      <c r="O21" s="43">
        <f>Лист1!BE14</f>
        <v>-12056.004083386</v>
      </c>
      <c r="P21" s="110">
        <f>Лист1!BF14</f>
        <v>-550.46</v>
      </c>
      <c r="Q21" s="1"/>
      <c r="R21" s="1"/>
    </row>
    <row r="22" spans="1:18" ht="12.75" hidden="1">
      <c r="A22" s="14" t="s">
        <v>44</v>
      </c>
      <c r="B22" s="15">
        <f>Лист1!B15</f>
        <v>631.7</v>
      </c>
      <c r="C22" s="131">
        <f>Лист1!C15</f>
        <v>5464.205000000001</v>
      </c>
      <c r="D22" s="203">
        <f>Лист1!D15</f>
        <v>683.0256250000001</v>
      </c>
      <c r="E22" s="41">
        <f>Лист1!S15</f>
        <v>1903.5599999999997</v>
      </c>
      <c r="F22" s="79">
        <f>Лист1!T15</f>
        <v>338.25000000000006</v>
      </c>
      <c r="G22" s="42">
        <f>Лист1!AB15</f>
        <v>1147.22</v>
      </c>
      <c r="H22" s="124">
        <f>Лист1!AC15</f>
        <v>2168.4956250000005</v>
      </c>
      <c r="I22" s="41">
        <f>Лист1!AG15</f>
        <v>341.11800000000005</v>
      </c>
      <c r="J22" s="16">
        <f>Лист1!AI15+Лист1!AJ15</f>
        <v>549.3269517000001</v>
      </c>
      <c r="K22" s="16">
        <f>Лист1!AH15+Лист1!AK15+Лист1!AL15+Лист1!AM15+Лист1!AN15+Лист1!AO15+Лист1!AP15+Лист1!AQ15+Лист1!AR15</f>
        <v>1889.2699648960001</v>
      </c>
      <c r="L22" s="17">
        <f>Лист1!AS15+Лист1!AT15+Лист1!AU15</f>
        <v>383.5</v>
      </c>
      <c r="M22" s="17">
        <f>Лист1!AX15</f>
        <v>161.36736</v>
      </c>
      <c r="N22" s="106">
        <f aca="true" t="shared" si="1" ref="N22:N27">SUM(I22:M22)</f>
        <v>3324.5822765960006</v>
      </c>
      <c r="O22" s="43">
        <f>Лист1!BE15</f>
        <v>-1156.0866515960001</v>
      </c>
      <c r="P22" s="110">
        <f>Лист1!BF15</f>
        <v>-756.3399999999997</v>
      </c>
      <c r="Q22" s="1"/>
      <c r="R22" s="1"/>
    </row>
    <row r="23" spans="1:18" ht="12.75" hidden="1">
      <c r="A23" s="14" t="s">
        <v>45</v>
      </c>
      <c r="B23" s="15">
        <f>Лист1!B16</f>
        <v>631.7</v>
      </c>
      <c r="C23" s="131">
        <f>Лист1!C16</f>
        <v>5464.205000000001</v>
      </c>
      <c r="D23" s="203">
        <f>Лист1!D16</f>
        <v>683.0256250000001</v>
      </c>
      <c r="E23" s="41">
        <f>Лист1!S16</f>
        <v>1903.5599999999997</v>
      </c>
      <c r="F23" s="79">
        <f>Лист1!T16</f>
        <v>338.25000000000006</v>
      </c>
      <c r="G23" s="42">
        <f>Лист1!AB16</f>
        <v>1547.9500000000003</v>
      </c>
      <c r="H23" s="124">
        <f>Лист1!AC16</f>
        <v>2569.2256250000005</v>
      </c>
      <c r="I23" s="41">
        <f>Лист1!AG16</f>
        <v>341.11800000000005</v>
      </c>
      <c r="J23" s="16">
        <f>Лист1!AI16+Лист1!AJ16</f>
        <v>549.6437492500002</v>
      </c>
      <c r="K23" s="16">
        <f>Лист1!AH16+Лист1!AK16+Лист1!AL16+Лист1!AM16+Лист1!AN16+Лист1!AO16+Лист1!AP16+Лист1!AQ16+Лист1!AR16</f>
        <v>1826.4259852659998</v>
      </c>
      <c r="L23" s="17">
        <f>Лист1!AS16+Лист1!AT16+Лист1!AU16</f>
        <v>0</v>
      </c>
      <c r="M23" s="17">
        <f>Лист1!AX16</f>
        <v>151.85184</v>
      </c>
      <c r="N23" s="106">
        <f t="shared" si="1"/>
        <v>2869.039574516</v>
      </c>
      <c r="O23" s="43">
        <f>Лист1!BE16</f>
        <v>-299.8139495159994</v>
      </c>
      <c r="P23" s="110">
        <f>Лист1!BF16</f>
        <v>-355.60999999999945</v>
      </c>
      <c r="Q23" s="1"/>
      <c r="R23" s="1"/>
    </row>
    <row r="24" spans="1:18" ht="12.75" hidden="1">
      <c r="A24" s="14" t="s">
        <v>46</v>
      </c>
      <c r="B24" s="15">
        <f>Лист1!B17</f>
        <v>631.7</v>
      </c>
      <c r="C24" s="131">
        <f>Лист1!C17</f>
        <v>5464.205000000001</v>
      </c>
      <c r="D24" s="203">
        <f>Лист1!D17</f>
        <v>683.0256250000001</v>
      </c>
      <c r="E24" s="41">
        <f>Лист1!S17</f>
        <v>1903.5599999999997</v>
      </c>
      <c r="F24" s="79">
        <f>Лист1!T17</f>
        <v>338.25000000000006</v>
      </c>
      <c r="G24" s="42">
        <f>Лист1!AB17</f>
        <v>1554.28</v>
      </c>
      <c r="H24" s="124">
        <f>Лист1!AC17</f>
        <v>2575.555625</v>
      </c>
      <c r="I24" s="41">
        <f>Лист1!AG17</f>
        <v>341.11800000000005</v>
      </c>
      <c r="J24" s="16">
        <f>Лист1!AI17+Лист1!AJ17</f>
        <v>566.05386234</v>
      </c>
      <c r="K24" s="16">
        <f>Лист1!AH17+Лист1!AK17+Лист1!AL17+Лист1!AM17+Лист1!AN17+Лист1!AO17+Лист1!AP17+Лист1!AQ17+Лист1!AR17</f>
        <v>1852.3044475120003</v>
      </c>
      <c r="L24" s="17">
        <f>Лист1!AS17+Лист1!AT17+Лист1!AU17</f>
        <v>362.26</v>
      </c>
      <c r="M24" s="17">
        <f>Лист1!AX17</f>
        <v>121.71936</v>
      </c>
      <c r="N24" s="106">
        <f t="shared" si="1"/>
        <v>3243.455669852</v>
      </c>
      <c r="O24" s="43">
        <f>Лист1!BE17</f>
        <v>-667.9000448520005</v>
      </c>
      <c r="P24" s="110">
        <f>Лист1!BF17</f>
        <v>-349.27999999999975</v>
      </c>
      <c r="Q24" s="1"/>
      <c r="R24" s="1"/>
    </row>
    <row r="25" spans="1:18" ht="12.75" hidden="1">
      <c r="A25" s="14" t="s">
        <v>47</v>
      </c>
      <c r="B25" s="15">
        <f>Лист1!B18</f>
        <v>631.7</v>
      </c>
      <c r="C25" s="131">
        <f>Лист1!C18</f>
        <v>5464.205000000001</v>
      </c>
      <c r="D25" s="203">
        <f>Лист1!D18</f>
        <v>2972.9150000000004</v>
      </c>
      <c r="E25" s="41">
        <f>Лист1!S18</f>
        <v>2110.04</v>
      </c>
      <c r="F25" s="79">
        <f>Лист1!T18</f>
        <v>381.25</v>
      </c>
      <c r="G25" s="42">
        <f>Лист1!AB18</f>
        <v>2875.32</v>
      </c>
      <c r="H25" s="124">
        <f>Лист1!AC18</f>
        <v>6229.485000000001</v>
      </c>
      <c r="I25" s="41">
        <f>Лист1!AG18</f>
        <v>379.02000000000004</v>
      </c>
      <c r="J25" s="16">
        <f>Лист1!AI18+Лист1!AJ18</f>
        <v>633.5951</v>
      </c>
      <c r="K25" s="16">
        <f>Лист1!AH18+Лист1!AK18+Лист1!AL18+Лист1!AM18+Лист1!AN18+Лист1!AO18+Лист1!AP18+Лист1!AQ18+Лист1!AR18</f>
        <v>2170.01584</v>
      </c>
      <c r="L25" s="17">
        <f>Лист1!AS18+Лист1!AT18+Лист1!AU18</f>
        <v>0</v>
      </c>
      <c r="M25" s="17">
        <f>Лист1!AX18</f>
        <v>104.27423999999999</v>
      </c>
      <c r="N25" s="106">
        <f t="shared" si="1"/>
        <v>3286.90518</v>
      </c>
      <c r="O25" s="43">
        <f>Лист1!BE18</f>
        <v>2942.5798200000004</v>
      </c>
      <c r="P25" s="110">
        <f>Лист1!BF18</f>
        <v>765.2800000000002</v>
      </c>
      <c r="Q25" s="1"/>
      <c r="R25" s="1"/>
    </row>
    <row r="26" spans="1:18" ht="12.75" hidden="1">
      <c r="A26" s="14" t="s">
        <v>48</v>
      </c>
      <c r="B26" s="15">
        <f>Лист1!B19</f>
        <v>631.7</v>
      </c>
      <c r="C26" s="131">
        <f>Лист1!C19</f>
        <v>5464.205000000001</v>
      </c>
      <c r="D26" s="203">
        <f>Лист1!D19</f>
        <v>2972.9150000000004</v>
      </c>
      <c r="E26" s="41">
        <f>Лист1!S19</f>
        <v>2110.04</v>
      </c>
      <c r="F26" s="79">
        <f>Лист1!T19</f>
        <v>381.25</v>
      </c>
      <c r="G26" s="42">
        <f>Лист1!AB19</f>
        <v>1485.94</v>
      </c>
      <c r="H26" s="124">
        <f>Лист1!AC19</f>
        <v>4840.1050000000005</v>
      </c>
      <c r="I26" s="41">
        <f>Лист1!AG19</f>
        <v>379.02000000000004</v>
      </c>
      <c r="J26" s="16">
        <f>Лист1!AI19+Лист1!AJ19</f>
        <v>633.5951</v>
      </c>
      <c r="K26" s="16">
        <f>Лист1!AH19+Лист1!AK19+Лист1!AL19+Лист1!AM19+Лист1!AN19+Лист1!AO19+Лист1!AP19+Лист1!AQ19+Лист1!AR19</f>
        <v>2170.072693</v>
      </c>
      <c r="L26" s="17">
        <f>Лист1!AS19+Лист1!AT19+Лист1!AU19</f>
        <v>0</v>
      </c>
      <c r="M26" s="17">
        <f>Лист1!AX19</f>
        <v>92.37983999999999</v>
      </c>
      <c r="N26" s="106">
        <f t="shared" si="1"/>
        <v>3275.067633</v>
      </c>
      <c r="O26" s="43">
        <f>Лист1!BE19</f>
        <v>1565.0373670000004</v>
      </c>
      <c r="P26" s="110">
        <f>Лист1!BF19</f>
        <v>-624.0999999999999</v>
      </c>
      <c r="Q26" s="1"/>
      <c r="R26" s="1"/>
    </row>
    <row r="27" spans="1:18" ht="12.75" hidden="1">
      <c r="A27" s="14" t="s">
        <v>49</v>
      </c>
      <c r="B27" s="15">
        <f>Лист1!B20</f>
        <v>631.7</v>
      </c>
      <c r="C27" s="131">
        <f>Лист1!C20</f>
        <v>5464.205000000001</v>
      </c>
      <c r="D27" s="203">
        <f>Лист1!D20</f>
        <v>2972.9150000000004</v>
      </c>
      <c r="E27" s="41">
        <f>Лист1!S20</f>
        <v>2110.04</v>
      </c>
      <c r="F27" s="79">
        <f>Лист1!T20</f>
        <v>381.25</v>
      </c>
      <c r="G27" s="42">
        <f>Лист1!AB20</f>
        <v>2418.02</v>
      </c>
      <c r="H27" s="124">
        <f>Лист1!AC20</f>
        <v>5772.185</v>
      </c>
      <c r="I27" s="41">
        <f>Лист1!AG20</f>
        <v>379.02000000000004</v>
      </c>
      <c r="J27" s="16">
        <f>Лист1!AI20+Лист1!AJ20</f>
        <v>624.5346900700001</v>
      </c>
      <c r="K27" s="16">
        <f>Лист1!AH20+Лист1!AK20+Лист1!AL20+Лист1!AM20+Лист1!AN20+Лист1!AO20+Лист1!AP20+Лист1!AQ20+Лист1!AR20</f>
        <v>2148.6243302200005</v>
      </c>
      <c r="L27" s="17">
        <f>Лист1!AS20+Лист1!AT20+Лист1!AU20</f>
        <v>0</v>
      </c>
      <c r="M27" s="17">
        <f>Лист1!AX20</f>
        <v>98.32704</v>
      </c>
      <c r="N27" s="106">
        <f t="shared" si="1"/>
        <v>3250.5060602900007</v>
      </c>
      <c r="O27" s="43">
        <f>Лист1!BE20</f>
        <v>2521.6789397099997</v>
      </c>
      <c r="P27" s="110">
        <f>Лист1!BF20</f>
        <v>307.98</v>
      </c>
      <c r="Q27" s="1"/>
      <c r="R27" s="1"/>
    </row>
    <row r="28" spans="1:18" ht="12.75" hidden="1">
      <c r="A28" s="14" t="s">
        <v>50</v>
      </c>
      <c r="B28" s="15">
        <f>Лист1!B21</f>
        <v>631.7</v>
      </c>
      <c r="C28" s="131">
        <f>Лист1!C21</f>
        <v>5464.205000000001</v>
      </c>
      <c r="D28" s="203">
        <f>Лист1!D21</f>
        <v>2972.9150000000004</v>
      </c>
      <c r="E28" s="41">
        <f>Лист1!S21</f>
        <v>2110.04</v>
      </c>
      <c r="F28" s="79">
        <f>Лист1!T21</f>
        <v>381.25</v>
      </c>
      <c r="G28" s="42">
        <f>Лист1!AB21</f>
        <v>1953.8200000000002</v>
      </c>
      <c r="H28" s="124">
        <f>Лист1!AC21</f>
        <v>5307.985000000001</v>
      </c>
      <c r="I28" s="41">
        <f>Лист1!AG21</f>
        <v>379.02000000000004</v>
      </c>
      <c r="J28" s="16">
        <f>Лист1!AI21+Лист1!AJ21</f>
        <v>624.255908226</v>
      </c>
      <c r="K28" s="16">
        <f>Лист1!AH21+Лист1!AK21+Лист1!AL21+Лист1!AM21+Лист1!AN21+Лист1!AO21+Лист1!AP21+Лист1!AQ21+Лист1!AR21</f>
        <v>2148.1703906000002</v>
      </c>
      <c r="L28" s="17">
        <f>Лист1!AS21+Лист1!AT21+Лист1!AU21</f>
        <v>0</v>
      </c>
      <c r="M28" s="17">
        <f>Лист1!AX21</f>
        <v>116.16863999999998</v>
      </c>
      <c r="N28" s="106">
        <f>SUM(I28:M28)</f>
        <v>3267.614938826</v>
      </c>
      <c r="O28" s="43">
        <f>Лист1!BE21</f>
        <v>2040.3700611740005</v>
      </c>
      <c r="P28" s="110">
        <f>Лист1!BF21</f>
        <v>-156.2199999999998</v>
      </c>
      <c r="Q28" s="1"/>
      <c r="R28" s="1"/>
    </row>
    <row r="29" spans="1:18" ht="12.75" hidden="1">
      <c r="A29" s="14" t="s">
        <v>51</v>
      </c>
      <c r="B29" s="15">
        <f>Лист1!B22</f>
        <v>631.7</v>
      </c>
      <c r="C29" s="131">
        <f>Лист1!C22</f>
        <v>5464.205000000001</v>
      </c>
      <c r="D29" s="203">
        <f>Лист1!D22</f>
        <v>2976.8550000000005</v>
      </c>
      <c r="E29" s="41">
        <f>Лист1!S22</f>
        <v>2106.1</v>
      </c>
      <c r="F29" s="79">
        <f>Лист1!T22</f>
        <v>381.25</v>
      </c>
      <c r="G29" s="42">
        <f>Лист1!AB22</f>
        <v>1852.6599999999999</v>
      </c>
      <c r="H29" s="124">
        <f>Лист1!AC22</f>
        <v>5210.765</v>
      </c>
      <c r="I29" s="41">
        <f>Лист1!AG22</f>
        <v>379.02000000000004</v>
      </c>
      <c r="J29" s="16">
        <f>Лист1!AI22+Лист1!AJ22</f>
        <v>624.148197059</v>
      </c>
      <c r="K29" s="16">
        <f>Лист1!AH22+Лист1!AK22+Лист1!AL22+Лист1!AM22+Лист1!AN22+Лист1!AO22+Лист1!AP22+Лист1!AQ22+Лист1!AR22</f>
        <v>2147.8881179818</v>
      </c>
      <c r="L29" s="17">
        <f>Лист1!AS22+Лист1!AT22+Лист1!AU22</f>
        <v>0</v>
      </c>
      <c r="M29" s="17">
        <f>Лист1!AX22</f>
        <v>138.37152</v>
      </c>
      <c r="N29" s="106">
        <f>SUM(I29:M29)</f>
        <v>3289.4278350408</v>
      </c>
      <c r="O29" s="43">
        <f>Лист1!BE22</f>
        <v>1921.3371649592</v>
      </c>
      <c r="P29" s="110">
        <f>Лист1!BF22</f>
        <v>-253.44000000000005</v>
      </c>
      <c r="Q29" s="1"/>
      <c r="R29" s="1"/>
    </row>
    <row r="30" spans="1:18" ht="12.75" hidden="1">
      <c r="A30" s="14" t="s">
        <v>39</v>
      </c>
      <c r="B30" s="15">
        <f>Лист1!B23</f>
        <v>631.7</v>
      </c>
      <c r="C30" s="131">
        <f>Лист1!C23</f>
        <v>5464.205000000001</v>
      </c>
      <c r="D30" s="203">
        <f>Лист1!D23</f>
        <v>2981.9750000000013</v>
      </c>
      <c r="E30" s="41">
        <f>Лист1!S23</f>
        <v>2100.98</v>
      </c>
      <c r="F30" s="79">
        <f>Лист1!T23</f>
        <v>381.25</v>
      </c>
      <c r="G30" s="42">
        <f>Лист1!AB23</f>
        <v>1508.13</v>
      </c>
      <c r="H30" s="124">
        <f>Лист1!AC23</f>
        <v>4871.355000000001</v>
      </c>
      <c r="I30" s="41">
        <f>Лист1!AG23</f>
        <v>379.02000000000004</v>
      </c>
      <c r="J30" s="16">
        <f>Лист1!AI23+Лист1!AJ23</f>
        <v>631.358882</v>
      </c>
      <c r="K30" s="16">
        <f>Лист1!AH23+Лист1!AK23+Лист1!AL23+Лист1!AM23+Лист1!AN23+Лист1!AO23+Лист1!AP23+Лист1!AQ23+Лист1!AR23</f>
        <v>2166.35198</v>
      </c>
      <c r="L30" s="17">
        <f>Лист1!AS23+Лист1!AT23+Лист1!AU23</f>
        <v>0</v>
      </c>
      <c r="M30" s="17">
        <f>Лист1!AX23</f>
        <v>168.504</v>
      </c>
      <c r="N30" s="106">
        <f>SUM(I30:M30)</f>
        <v>3345.234862</v>
      </c>
      <c r="O30" s="43">
        <f>Лист1!BE23</f>
        <v>1526.1201380000011</v>
      </c>
      <c r="P30" s="110">
        <f>Лист1!BF23</f>
        <v>-592.8499999999999</v>
      </c>
      <c r="Q30" s="1"/>
      <c r="R30" s="1"/>
    </row>
    <row r="31" spans="1:18" ht="12.75" hidden="1">
      <c r="A31" s="14" t="s">
        <v>40</v>
      </c>
      <c r="B31" s="15">
        <f>Лист1!B24</f>
        <v>631.7</v>
      </c>
      <c r="C31" s="131">
        <f>Лист1!C24</f>
        <v>5464.205000000001</v>
      </c>
      <c r="D31" s="203">
        <f>Лист1!D24</f>
        <v>2981.9750000000013</v>
      </c>
      <c r="E31" s="41">
        <f>Лист1!S24</f>
        <v>2100.98</v>
      </c>
      <c r="F31" s="79">
        <f>Лист1!T24</f>
        <v>381.25</v>
      </c>
      <c r="G31" s="42">
        <f>Лист1!AB24</f>
        <v>2403.62</v>
      </c>
      <c r="H31" s="124">
        <f>Лист1!AC24</f>
        <v>5766.845000000001</v>
      </c>
      <c r="I31" s="41">
        <f>Лист1!AG24</f>
        <v>379.02000000000004</v>
      </c>
      <c r="J31" s="16">
        <f>Лист1!AI24+Лист1!AJ24</f>
        <v>633.5951</v>
      </c>
      <c r="K31" s="16">
        <f>Лист1!AH24+Лист1!AK24+Лист1!AL24+Лист1!AM24+Лист1!AN24+Лист1!AO24+Лист1!AP24+Лист1!AQ24+Лист1!AR24</f>
        <v>2168.75244</v>
      </c>
      <c r="L31" s="17">
        <f>Лист1!AS24+Лист1!AT24+Лист1!AU24</f>
        <v>0</v>
      </c>
      <c r="M31" s="17">
        <f>Лист1!AX24</f>
        <v>186.34560000000002</v>
      </c>
      <c r="N31" s="106">
        <f>SUM(I31:M31)</f>
        <v>3367.7131400000003</v>
      </c>
      <c r="O31" s="43">
        <f>Лист1!BE24</f>
        <v>2399.131860000001</v>
      </c>
      <c r="P31" s="110">
        <f>Лист1!BF24</f>
        <v>302.6399999999999</v>
      </c>
      <c r="Q31" s="1"/>
      <c r="R31" s="1"/>
    </row>
    <row r="32" spans="1:18" ht="13.5" hidden="1" thickBot="1">
      <c r="A32" s="44" t="s">
        <v>41</v>
      </c>
      <c r="B32" s="15">
        <f>Лист1!B25</f>
        <v>631.7</v>
      </c>
      <c r="C32" s="131">
        <f>Лист1!C25</f>
        <v>5464.205000000001</v>
      </c>
      <c r="D32" s="203">
        <f>Лист1!D25</f>
        <v>2981.965000000001</v>
      </c>
      <c r="E32" s="41">
        <f>Лист1!S25</f>
        <v>2100.99</v>
      </c>
      <c r="F32" s="79">
        <f>Лист1!T25</f>
        <v>381.25</v>
      </c>
      <c r="G32" s="42">
        <f>Лист1!AB25</f>
        <v>2237.58</v>
      </c>
      <c r="H32" s="124">
        <f>Лист1!AC25</f>
        <v>5600.795000000001</v>
      </c>
      <c r="I32" s="41">
        <f>Лист1!AG25</f>
        <v>379.02000000000004</v>
      </c>
      <c r="J32" s="16">
        <f>Лист1!AI25+Лист1!AJ25</f>
        <v>633.5951</v>
      </c>
      <c r="K32" s="16">
        <f>Лист1!AH25+Лист1!AK25+Лист1!AL25+Лист1!AM25+Лист1!AN25+Лист1!AO25+Лист1!AP25+Лист1!AQ25+Лист1!AR25</f>
        <v>2168.75244</v>
      </c>
      <c r="L32" s="17">
        <f>Лист1!AS25+Лист1!AT25+Лист1!AU25</f>
        <v>0</v>
      </c>
      <c r="M32" s="17">
        <f>Лист1!AX25</f>
        <v>203.79072</v>
      </c>
      <c r="N32" s="106">
        <f>SUM(I32:M32)</f>
        <v>3385.15826</v>
      </c>
      <c r="O32" s="43">
        <f>Лист1!BE25</f>
        <v>2215.636740000001</v>
      </c>
      <c r="P32" s="110">
        <f>Лист1!BF25</f>
        <v>136.59000000000015</v>
      </c>
      <c r="Q32" s="1"/>
      <c r="R32" s="1"/>
    </row>
    <row r="33" spans="1:18" s="24" customFormat="1" ht="13.5" hidden="1" thickBot="1">
      <c r="A33" s="45" t="s">
        <v>3</v>
      </c>
      <c r="B33" s="46"/>
      <c r="C33" s="49">
        <f aca="true" t="shared" si="2" ref="C33:P33">SUM(C21:C32)</f>
        <v>65570.46</v>
      </c>
      <c r="D33" s="51">
        <f t="shared" si="2"/>
        <v>26546.53250000001</v>
      </c>
      <c r="E33" s="50">
        <f t="shared" si="2"/>
        <v>24457.46</v>
      </c>
      <c r="F33" s="47">
        <f t="shared" si="2"/>
        <v>4403</v>
      </c>
      <c r="G33" s="48">
        <f t="shared" si="2"/>
        <v>22331.65</v>
      </c>
      <c r="H33" s="94">
        <f t="shared" si="2"/>
        <v>53281.18250000001</v>
      </c>
      <c r="I33" s="50">
        <f t="shared" si="2"/>
        <v>4396.6320000000005</v>
      </c>
      <c r="J33" s="47">
        <f t="shared" si="2"/>
        <v>7253.005992345001</v>
      </c>
      <c r="K33" s="47">
        <f t="shared" si="2"/>
        <v>24743.1751461618</v>
      </c>
      <c r="L33" s="47">
        <f t="shared" si="2"/>
        <v>12191.77</v>
      </c>
      <c r="M33" s="47">
        <f t="shared" si="2"/>
        <v>1744.512</v>
      </c>
      <c r="N33" s="86">
        <f t="shared" si="2"/>
        <v>50329.095138506804</v>
      </c>
      <c r="O33" s="51">
        <f t="shared" si="2"/>
        <v>2952.0873614932048</v>
      </c>
      <c r="P33" s="113">
        <f t="shared" si="2"/>
        <v>-2125.809999999998</v>
      </c>
      <c r="Q33" s="53"/>
      <c r="R33" s="53"/>
    </row>
    <row r="34" spans="1:18" ht="13.5" thickBot="1">
      <c r="A34" s="88" t="s">
        <v>96</v>
      </c>
      <c r="B34" s="89"/>
      <c r="C34" s="90"/>
      <c r="D34" s="117"/>
      <c r="E34" s="89"/>
      <c r="F34" s="89"/>
      <c r="G34" s="88"/>
      <c r="H34" s="128"/>
      <c r="I34" s="89"/>
      <c r="J34" s="89"/>
      <c r="K34" s="89"/>
      <c r="L34" s="89"/>
      <c r="M34" s="89"/>
      <c r="N34" s="91"/>
      <c r="O34" s="117"/>
      <c r="P34" s="114"/>
      <c r="Q34" s="1"/>
      <c r="R34" s="1"/>
    </row>
    <row r="35" spans="1:18" s="24" customFormat="1" ht="13.5" thickBot="1">
      <c r="A35" s="58" t="s">
        <v>52</v>
      </c>
      <c r="B35" s="59"/>
      <c r="C35" s="60">
        <f>C19+C33</f>
        <v>81963.07500000001</v>
      </c>
      <c r="D35" s="62">
        <f aca="true" t="shared" si="3" ref="D35:P35">D19+D33</f>
        <v>30492.28957255001</v>
      </c>
      <c r="E35" s="122">
        <f t="shared" si="3"/>
        <v>30168.129999999997</v>
      </c>
      <c r="F35" s="121">
        <f t="shared" si="3"/>
        <v>5417.75</v>
      </c>
      <c r="G35" s="61">
        <f t="shared" si="3"/>
        <v>25328.190000000002</v>
      </c>
      <c r="H35" s="87">
        <f t="shared" si="3"/>
        <v>61238.229572550015</v>
      </c>
      <c r="I35" s="122">
        <f t="shared" si="3"/>
        <v>5533.692000000001</v>
      </c>
      <c r="J35" s="59">
        <f t="shared" si="3"/>
        <v>9155.967877865001</v>
      </c>
      <c r="K35" s="59">
        <f t="shared" si="3"/>
        <v>31414.7363096428</v>
      </c>
      <c r="L35" s="59">
        <f t="shared" si="3"/>
        <v>20031.5838</v>
      </c>
      <c r="M35" s="59">
        <f t="shared" si="3"/>
        <v>1744.512</v>
      </c>
      <c r="N35" s="95">
        <f t="shared" si="3"/>
        <v>67880.4919875078</v>
      </c>
      <c r="O35" s="62">
        <f t="shared" si="3"/>
        <v>-6642.262414957795</v>
      </c>
      <c r="P35" s="115">
        <f t="shared" si="3"/>
        <v>-4839.939999999998</v>
      </c>
      <c r="Q35" s="63"/>
      <c r="R35" s="53"/>
    </row>
    <row r="36" spans="1:18" ht="12.75">
      <c r="A36" s="8" t="s">
        <v>93</v>
      </c>
      <c r="B36" s="68"/>
      <c r="C36" s="133"/>
      <c r="D36" s="205"/>
      <c r="E36" s="56"/>
      <c r="F36" s="120"/>
      <c r="G36" s="57"/>
      <c r="H36" s="127"/>
      <c r="I36" s="56"/>
      <c r="J36" s="54"/>
      <c r="K36" s="54"/>
      <c r="L36" s="69"/>
      <c r="M36" s="69"/>
      <c r="N36" s="107"/>
      <c r="O36" s="70"/>
      <c r="P36" s="112"/>
      <c r="Q36" s="1"/>
      <c r="R36" s="1"/>
    </row>
    <row r="37" spans="1:18" ht="12.75">
      <c r="A37" s="14" t="s">
        <v>43</v>
      </c>
      <c r="B37" s="15">
        <f>Лист1!B30</f>
        <v>631.7</v>
      </c>
      <c r="C37" s="131">
        <f>Лист1!C30</f>
        <v>5464.205000000001</v>
      </c>
      <c r="D37" s="203">
        <f>Лист1!D30</f>
        <v>2981.9750000000013</v>
      </c>
      <c r="E37" s="41">
        <f>Лист1!S30</f>
        <v>2100.98</v>
      </c>
      <c r="F37" s="79">
        <f>Лист1!T30</f>
        <v>381.25</v>
      </c>
      <c r="G37" s="42">
        <f>Лист1!AB30</f>
        <v>1599.21</v>
      </c>
      <c r="H37" s="124">
        <f>Лист1!AC30</f>
        <v>4962.435000000001</v>
      </c>
      <c r="I37" s="41">
        <f>Лист1!AG30</f>
        <v>379.02000000000004</v>
      </c>
      <c r="J37" s="16">
        <f>Лист1!AI30+Лист1!AJ30</f>
        <v>631.7</v>
      </c>
      <c r="K37" s="16">
        <f>Лист1!AH30+Лист1!AK30+Лист1!AL30+Лист1!AM30+Лист1!AN30+Лист1!AO30+Лист1!AP30+Лист1!AQ30+Лист1!AR30</f>
        <v>2166.731</v>
      </c>
      <c r="L37" s="17">
        <f>Лист1!AS30+Лист1!AT30+Лист1!AU30</f>
        <v>0</v>
      </c>
      <c r="M37" s="17">
        <f>Лист1!AX30</f>
        <v>213.35999999999999</v>
      </c>
      <c r="N37" s="106">
        <f>SUM(I37:M37)</f>
        <v>3390.811</v>
      </c>
      <c r="O37" s="43">
        <f>Лист1!BE30</f>
        <v>1571.6240000000012</v>
      </c>
      <c r="P37" s="110">
        <f>Лист1!BF30</f>
        <v>-501.77</v>
      </c>
      <c r="Q37" s="1"/>
      <c r="R37" s="1"/>
    </row>
    <row r="38" spans="1:18" ht="12.75">
      <c r="A38" s="14" t="s">
        <v>44</v>
      </c>
      <c r="B38" s="15">
        <f>Лист1!B31</f>
        <v>631.7</v>
      </c>
      <c r="C38" s="131">
        <f>Лист1!C31</f>
        <v>5464.205000000001</v>
      </c>
      <c r="D38" s="203">
        <f>Лист1!D31</f>
        <v>2981.9750000000013</v>
      </c>
      <c r="E38" s="41">
        <f>Лист1!S31</f>
        <v>2100.98</v>
      </c>
      <c r="F38" s="79">
        <f>Лист1!T31</f>
        <v>381.25</v>
      </c>
      <c r="G38" s="42">
        <f>Лист1!AB31</f>
        <v>2025.3200000000002</v>
      </c>
      <c r="H38" s="124">
        <f>Лист1!AC31</f>
        <v>5388.545000000002</v>
      </c>
      <c r="I38" s="41">
        <f>Лист1!AG31</f>
        <v>379.02000000000004</v>
      </c>
      <c r="J38" s="16">
        <f>Лист1!AI31+Лист1!AJ31</f>
        <v>631.7</v>
      </c>
      <c r="K38" s="16">
        <f>Лист1!AH31+Лист1!AK31+Лист1!AL31+Лист1!AM31+Лист1!AN31+Лист1!AO31+Лист1!AP31+Лист1!AQ31+Лист1!AR31</f>
        <v>2166.731</v>
      </c>
      <c r="L38" s="17">
        <f>Лист1!AS31+Лист1!AT31+Лист1!AU31</f>
        <v>599</v>
      </c>
      <c r="M38" s="17">
        <f>Лист1!AX31</f>
        <v>170.93999999999997</v>
      </c>
      <c r="N38" s="106">
        <f aca="true" t="shared" si="4" ref="N38:N43">SUM(I38:M38)</f>
        <v>3947.391</v>
      </c>
      <c r="O38" s="43">
        <f>Лист1!BE31</f>
        <v>1441.1540000000023</v>
      </c>
      <c r="P38" s="110">
        <f>Лист1!BF31</f>
        <v>-75.65999999999985</v>
      </c>
      <c r="Q38" s="1"/>
      <c r="R38" s="1"/>
    </row>
    <row r="39" spans="1:18" ht="12.75">
      <c r="A39" s="14" t="s">
        <v>45</v>
      </c>
      <c r="B39" s="15">
        <f>Лист1!B32</f>
        <v>631.7</v>
      </c>
      <c r="C39" s="131">
        <f>Лист1!C32</f>
        <v>5464.205000000001</v>
      </c>
      <c r="D39" s="203">
        <f>Лист1!D32</f>
        <v>2981.9850000000015</v>
      </c>
      <c r="E39" s="41">
        <f>Лист1!S32</f>
        <v>2100.97</v>
      </c>
      <c r="F39" s="79">
        <f>Лист1!T32</f>
        <v>381.25</v>
      </c>
      <c r="G39" s="42">
        <f>Лист1!AB32</f>
        <v>2060.54</v>
      </c>
      <c r="H39" s="124">
        <f>Лист1!AC32</f>
        <v>5423.7750000000015</v>
      </c>
      <c r="I39" s="41">
        <f>Лист1!AG32</f>
        <v>379.02000000000004</v>
      </c>
      <c r="J39" s="16">
        <f>Лист1!AI32+Лист1!AJ32</f>
        <v>631.7</v>
      </c>
      <c r="K39" s="16">
        <f>Лист1!AH32+Лист1!AK32+Лист1!AL32+Лист1!AM32+Лист1!AN32+Лист1!AO32+Лист1!AP32+Лист1!AQ32+Лист1!AR32</f>
        <v>2166.731</v>
      </c>
      <c r="L39" s="17">
        <f>Лист1!AS32+Лист1!AT32+Лист1!AU32</f>
        <v>0</v>
      </c>
      <c r="M39" s="17">
        <f>Лист1!AX32</f>
        <v>160.85999999999999</v>
      </c>
      <c r="N39" s="106">
        <f t="shared" si="4"/>
        <v>3338.311</v>
      </c>
      <c r="O39" s="43">
        <f>Лист1!BE32</f>
        <v>2085.4640000000013</v>
      </c>
      <c r="P39" s="110">
        <f>Лист1!BF32</f>
        <v>-40.429999999999836</v>
      </c>
      <c r="Q39" s="1"/>
      <c r="R39" s="1"/>
    </row>
    <row r="40" spans="1:18" ht="12.75">
      <c r="A40" s="14" t="s">
        <v>46</v>
      </c>
      <c r="B40" s="15">
        <f>Лист1!B33</f>
        <v>631.7</v>
      </c>
      <c r="C40" s="131">
        <f>Лист1!C33</f>
        <v>5464.205000000001</v>
      </c>
      <c r="D40" s="203">
        <f>Лист1!D33</f>
        <v>2981.9750000000004</v>
      </c>
      <c r="E40" s="41">
        <f>Лист1!S33</f>
        <v>2006.2000000000003</v>
      </c>
      <c r="F40" s="79">
        <f>Лист1!T33</f>
        <v>476.03</v>
      </c>
      <c r="G40" s="42">
        <f>Лист1!AB33</f>
        <v>1554.28</v>
      </c>
      <c r="H40" s="124">
        <f>Лист1!AC33</f>
        <v>5012.285</v>
      </c>
      <c r="I40" s="41">
        <f>Лист1!AG33</f>
        <v>379.02000000000004</v>
      </c>
      <c r="J40" s="16">
        <f>Лист1!AI33+Лист1!AJ33</f>
        <v>631.7</v>
      </c>
      <c r="K40" s="16">
        <f>Лист1!AH33+Лист1!AK33+Лист1!AL33+Лист1!AM33+Лист1!AN33+Лист1!AO33+Лист1!AP33+Лист1!AQ33+Лист1!AR33</f>
        <v>2166.731</v>
      </c>
      <c r="L40" s="17">
        <f>Лист1!AS33+Лист1!AT33+Лист1!AU33</f>
        <v>195</v>
      </c>
      <c r="M40" s="17">
        <f>Лист1!AX33</f>
        <v>128.94</v>
      </c>
      <c r="N40" s="106">
        <f t="shared" si="4"/>
        <v>3501.391</v>
      </c>
      <c r="O40" s="43">
        <f>Лист1!BE33</f>
        <v>1510.8939999999998</v>
      </c>
      <c r="P40" s="110">
        <f>Лист1!BF33</f>
        <v>-451.9200000000003</v>
      </c>
      <c r="Q40" s="1"/>
      <c r="R40" s="1"/>
    </row>
    <row r="41" spans="1:18" ht="12.75">
      <c r="A41" s="14" t="s">
        <v>47</v>
      </c>
      <c r="B41" s="15">
        <f>Лист1!B34</f>
        <v>631.9</v>
      </c>
      <c r="C41" s="131">
        <f>Лист1!C34</f>
        <v>5465.935</v>
      </c>
      <c r="D41" s="203">
        <f>Лист1!D34</f>
        <v>2982.915</v>
      </c>
      <c r="E41" s="41">
        <f>Лист1!S34</f>
        <v>2006.9999999999998</v>
      </c>
      <c r="F41" s="79">
        <f>Лист1!T34</f>
        <v>476.02</v>
      </c>
      <c r="G41" s="42">
        <f>Лист1!AB34</f>
        <v>1944.01</v>
      </c>
      <c r="H41" s="124">
        <f>Лист1!AC34</f>
        <v>5402.945</v>
      </c>
      <c r="I41" s="41">
        <f>Лист1!AG34</f>
        <v>379.14</v>
      </c>
      <c r="J41" s="16">
        <f>Лист1!AI34+Лист1!AJ34</f>
        <v>631.9</v>
      </c>
      <c r="K41" s="16">
        <f>Лист1!AH34+Лист1!AK34+Лист1!AL34+Лист1!AM34+Лист1!AN34+Лист1!AO34+Лист1!AP34+Лист1!AQ34+Лист1!AR34</f>
        <v>2167.417</v>
      </c>
      <c r="L41" s="17">
        <f>Лист1!AS34+Лист1!AT34+Лист1!AU34</f>
        <v>0</v>
      </c>
      <c r="M41" s="17">
        <f>Лист1!AX34</f>
        <v>110.45999999999998</v>
      </c>
      <c r="N41" s="106">
        <f t="shared" si="4"/>
        <v>3288.917</v>
      </c>
      <c r="O41" s="43">
        <f>Лист1!BE34</f>
        <v>2114.028</v>
      </c>
      <c r="P41" s="110">
        <f>Лист1!BF34</f>
        <v>-62.98999999999978</v>
      </c>
      <c r="Q41" s="1"/>
      <c r="R41" s="1"/>
    </row>
    <row r="42" spans="1:18" ht="12.75">
      <c r="A42" s="14" t="s">
        <v>48</v>
      </c>
      <c r="B42" s="15">
        <f>Лист1!B35</f>
        <v>631.9</v>
      </c>
      <c r="C42" s="131">
        <f>Лист1!C35</f>
        <v>5465.935</v>
      </c>
      <c r="D42" s="203">
        <f>Лист1!D35</f>
        <v>2982.915</v>
      </c>
      <c r="E42" s="41">
        <f>Лист1!S35</f>
        <v>2006.9999999999998</v>
      </c>
      <c r="F42" s="79">
        <f>Лист1!T35</f>
        <v>476.02</v>
      </c>
      <c r="G42" s="42">
        <f>Лист1!AB35</f>
        <v>1484.06</v>
      </c>
      <c r="H42" s="124">
        <f>Лист1!AC35</f>
        <v>4942.995</v>
      </c>
      <c r="I42" s="41">
        <f>Лист1!AG35</f>
        <v>379.14</v>
      </c>
      <c r="J42" s="16">
        <f>Лист1!AI35+Лист1!AJ35</f>
        <v>631.9</v>
      </c>
      <c r="K42" s="16">
        <f>Лист1!AH35+Лист1!AK35+Лист1!AL35+Лист1!AM35+Лист1!AN35+Лист1!AO35+Лист1!AP35+Лист1!AQ35+Лист1!AR35</f>
        <v>2167.417</v>
      </c>
      <c r="L42" s="17">
        <f>Лист1!AS35+Лист1!AT35+Лист1!AU35</f>
        <v>664</v>
      </c>
      <c r="M42" s="17">
        <f>Лист1!AX35</f>
        <v>97.85999999999999</v>
      </c>
      <c r="N42" s="106">
        <f t="shared" si="4"/>
        <v>3940.317</v>
      </c>
      <c r="O42" s="43">
        <f>Лист1!BE35</f>
        <v>1002.6779999999999</v>
      </c>
      <c r="P42" s="110">
        <f>Лист1!BF35</f>
        <v>-522.9399999999998</v>
      </c>
      <c r="Q42" s="1"/>
      <c r="R42" s="1"/>
    </row>
    <row r="43" spans="1:18" ht="12.75">
      <c r="A43" s="14" t="s">
        <v>49</v>
      </c>
      <c r="B43" s="15">
        <f>Лист1!B36</f>
        <v>631.9</v>
      </c>
      <c r="C43" s="131">
        <f>Лист1!C36</f>
        <v>5465.935</v>
      </c>
      <c r="D43" s="203">
        <f>Лист1!D36</f>
        <v>2980.0750000000007</v>
      </c>
      <c r="E43" s="41">
        <f>Лист1!S36</f>
        <v>2485.8599999999997</v>
      </c>
      <c r="F43" s="79">
        <f>Лист1!T36</f>
        <v>0</v>
      </c>
      <c r="G43" s="42">
        <f>Лист1!AB36</f>
        <v>1983.17</v>
      </c>
      <c r="H43" s="124">
        <f>Лист1!AC36</f>
        <v>4963.245000000001</v>
      </c>
      <c r="I43" s="41">
        <f>Лист1!AG36</f>
        <v>379.14</v>
      </c>
      <c r="J43" s="16">
        <f>Лист1!AI36+Лист1!AJ36</f>
        <v>631.9</v>
      </c>
      <c r="K43" s="16">
        <f>Лист1!AH36+Лист1!AK36+Лист1!AL36+Лист1!AM36+Лист1!AN36+Лист1!AO36+Лист1!AP36+Лист1!AQ36+Лист1!AR36</f>
        <v>2167.417</v>
      </c>
      <c r="L43" s="17">
        <f>Лист1!AS36+Лист1!AT36+Лист1!AU36</f>
        <v>0</v>
      </c>
      <c r="M43" s="17">
        <f>Лист1!AX36</f>
        <v>104.15999999999998</v>
      </c>
      <c r="N43" s="106">
        <f t="shared" si="4"/>
        <v>3282.6169999999997</v>
      </c>
      <c r="O43" s="43">
        <f>Лист1!BE36</f>
        <v>1680.628000000001</v>
      </c>
      <c r="P43" s="110">
        <f>Лист1!BF36</f>
        <v>-502.6899999999996</v>
      </c>
      <c r="Q43" s="1"/>
      <c r="R43" s="1"/>
    </row>
    <row r="44" spans="1:18" ht="12.75">
      <c r="A44" s="14" t="s">
        <v>50</v>
      </c>
      <c r="B44" s="15">
        <f>Лист1!B37</f>
        <v>631.9</v>
      </c>
      <c r="C44" s="131">
        <f>Лист1!C37</f>
        <v>5465.935</v>
      </c>
      <c r="D44" s="203">
        <f>Лист1!D37</f>
        <v>2980.0750000000007</v>
      </c>
      <c r="E44" s="41">
        <f>Лист1!S37</f>
        <v>2485.8599999999997</v>
      </c>
      <c r="F44" s="79">
        <f>Лист1!T37</f>
        <v>0</v>
      </c>
      <c r="G44" s="42">
        <f>Лист1!AB37</f>
        <v>2115.7900000000004</v>
      </c>
      <c r="H44" s="124">
        <f>Лист1!AC37</f>
        <v>5095.865000000002</v>
      </c>
      <c r="I44" s="41">
        <f>Лист1!AG37</f>
        <v>379.14</v>
      </c>
      <c r="J44" s="16">
        <f>Лист1!AI37+Лист1!AJ37</f>
        <v>631.9</v>
      </c>
      <c r="K44" s="16">
        <f>Лист1!AH37+Лист1!AK37+Лист1!AL37+Лист1!AM37+Лист1!AN37+Лист1!AO37+Лист1!AP37+Лист1!AQ37+Лист1!AR37</f>
        <v>2167.417</v>
      </c>
      <c r="L44" s="17">
        <f>Лист1!AS37+Лист1!AT37+Лист1!AU37</f>
        <v>47.8</v>
      </c>
      <c r="M44" s="17">
        <f>Лист1!AX37</f>
        <v>123.05999999999997</v>
      </c>
      <c r="N44" s="106">
        <f>SUM(I44:M44)</f>
        <v>3349.317</v>
      </c>
      <c r="O44" s="43">
        <f>Лист1!BE37</f>
        <v>1746.5480000000016</v>
      </c>
      <c r="P44" s="110">
        <f>Лист1!BF37</f>
        <v>-370.06999999999925</v>
      </c>
      <c r="Q44" s="1"/>
      <c r="R44" s="1"/>
    </row>
    <row r="45" spans="1:18" ht="12.75">
      <c r="A45" s="14" t="s">
        <v>51</v>
      </c>
      <c r="B45" s="15">
        <f>Лист1!B38</f>
        <v>631.9</v>
      </c>
      <c r="C45" s="131">
        <f>Лист1!C38</f>
        <v>5465.935</v>
      </c>
      <c r="D45" s="203">
        <f>Лист1!D38</f>
        <v>2980.0750000000007</v>
      </c>
      <c r="E45" s="41">
        <f>Лист1!S38</f>
        <v>2485.8599999999997</v>
      </c>
      <c r="F45" s="79">
        <f>Лист1!T38</f>
        <v>0</v>
      </c>
      <c r="G45" s="42">
        <f>Лист1!AB38</f>
        <v>1958.6699999999998</v>
      </c>
      <c r="H45" s="124">
        <f>Лист1!AC38</f>
        <v>4938.745000000001</v>
      </c>
      <c r="I45" s="41">
        <f>Лист1!AG38</f>
        <v>379.14</v>
      </c>
      <c r="J45" s="16">
        <f>Лист1!AI38+Лист1!AJ38</f>
        <v>631.9</v>
      </c>
      <c r="K45" s="16">
        <f>Лист1!AH38+Лист1!AK38+Лист1!AL38+Лист1!AM38+Лист1!AN38+Лист1!AO38+Лист1!AP38+Лист1!AQ38+Лист1!AR38</f>
        <v>2167.417</v>
      </c>
      <c r="L45" s="17">
        <f>Лист1!AS38+Лист1!AT38+Лист1!AU38</f>
        <v>0</v>
      </c>
      <c r="M45" s="17">
        <f>Лист1!AX38</f>
        <v>146.57999999999998</v>
      </c>
      <c r="N45" s="106">
        <f>SUM(I45:M45)</f>
        <v>3325.037</v>
      </c>
      <c r="O45" s="43">
        <f>Лист1!BE38</f>
        <v>1613.708000000001</v>
      </c>
      <c r="P45" s="110">
        <f>Лист1!BF38</f>
        <v>-527.1899999999998</v>
      </c>
      <c r="Q45" s="1"/>
      <c r="R45" s="1"/>
    </row>
    <row r="46" spans="1:18" ht="12.75">
      <c r="A46" s="14" t="s">
        <v>39</v>
      </c>
      <c r="B46" s="15">
        <f>Лист1!B39</f>
        <v>631.9</v>
      </c>
      <c r="C46" s="131">
        <f>Лист1!C39</f>
        <v>5465.935</v>
      </c>
      <c r="D46" s="203">
        <f>Лист1!D39</f>
        <v>2980.0750000000007</v>
      </c>
      <c r="E46" s="41">
        <f>Лист1!S39</f>
        <v>2485.8599999999997</v>
      </c>
      <c r="F46" s="79">
        <f>Лист1!T39</f>
        <v>0</v>
      </c>
      <c r="G46" s="42">
        <f>Лист1!AB39</f>
        <v>2118.17</v>
      </c>
      <c r="H46" s="124">
        <f>Лист1!AC39</f>
        <v>5098.245000000001</v>
      </c>
      <c r="I46" s="41">
        <f>Лист1!AG39</f>
        <v>379.14</v>
      </c>
      <c r="J46" s="16">
        <f>Лист1!AI39+Лист1!AJ39</f>
        <v>631.9</v>
      </c>
      <c r="K46" s="16">
        <f>Лист1!AH39+Лист1!AK39+Лист1!AL39+Лист1!AM39+Лист1!AN39+Лист1!AO39+Лист1!AP39+Лист1!AQ39+Лист1!AR39</f>
        <v>2167.417</v>
      </c>
      <c r="L46" s="17">
        <f>Лист1!AS39+Лист1!AT39+Лист1!AU39</f>
        <v>0</v>
      </c>
      <c r="M46" s="17">
        <f>Лист1!AX39</f>
        <v>178.5</v>
      </c>
      <c r="N46" s="106">
        <f>SUM(I46:M46)</f>
        <v>3356.957</v>
      </c>
      <c r="O46" s="43">
        <f>Лист1!BE39</f>
        <v>1741.288000000001</v>
      </c>
      <c r="P46" s="110">
        <f>Лист1!BF39</f>
        <v>-367.6899999999996</v>
      </c>
      <c r="Q46" s="1"/>
      <c r="R46" s="1"/>
    </row>
    <row r="47" spans="1:18" ht="12.75">
      <c r="A47" s="14" t="s">
        <v>40</v>
      </c>
      <c r="B47" s="15">
        <f>Лист1!B40</f>
        <v>631.9</v>
      </c>
      <c r="C47" s="131">
        <f>Лист1!C40</f>
        <v>5465.935</v>
      </c>
      <c r="D47" s="203">
        <f>Лист1!D40</f>
        <v>2980.085000000001</v>
      </c>
      <c r="E47" s="41">
        <f>Лист1!S40</f>
        <v>2485.8500000000004</v>
      </c>
      <c r="F47" s="79">
        <f>Лист1!T40</f>
        <v>0</v>
      </c>
      <c r="G47" s="42">
        <f>Лист1!AB40</f>
        <v>2788.74</v>
      </c>
      <c r="H47" s="124">
        <f>Лист1!AC40</f>
        <v>5768.825000000001</v>
      </c>
      <c r="I47" s="41">
        <f>Лист1!AG40</f>
        <v>379.14</v>
      </c>
      <c r="J47" s="16">
        <f>Лист1!AI40+Лист1!AJ40</f>
        <v>631.9</v>
      </c>
      <c r="K47" s="16">
        <f>Лист1!AH40+Лист1!AK40+Лист1!AL40+Лист1!AM40+Лист1!AN40+Лист1!AO40+Лист1!AP40+Лист1!AQ40+Лист1!AR40</f>
        <v>2167.417</v>
      </c>
      <c r="L47" s="17">
        <f>Лист1!AS40+Лист1!AT40+Лист1!AU40</f>
        <v>0</v>
      </c>
      <c r="M47" s="17">
        <f>Лист1!AX40</f>
        <v>197.39999999999998</v>
      </c>
      <c r="N47" s="106">
        <f>SUM(I47:M47)</f>
        <v>3375.857</v>
      </c>
      <c r="O47" s="43">
        <f>Лист1!BE40</f>
        <v>2392.9680000000008</v>
      </c>
      <c r="P47" s="110">
        <f>Лист1!BF40</f>
        <v>302.8899999999994</v>
      </c>
      <c r="Q47" s="1"/>
      <c r="R47" s="1"/>
    </row>
    <row r="48" spans="1:18" ht="13.5" thickBot="1">
      <c r="A48" s="44" t="s">
        <v>41</v>
      </c>
      <c r="B48" s="15">
        <f>Лист1!B41</f>
        <v>631.9</v>
      </c>
      <c r="C48" s="131">
        <f>Лист1!C41</f>
        <v>5465.935</v>
      </c>
      <c r="D48" s="203">
        <f>Лист1!D41</f>
        <v>12980.075</v>
      </c>
      <c r="E48" s="41">
        <f>Лист1!S41</f>
        <v>2485.8599999999997</v>
      </c>
      <c r="F48" s="79">
        <f>Лист1!T41</f>
        <v>0</v>
      </c>
      <c r="G48" s="42">
        <f>Лист1!AB41</f>
        <v>2453.66</v>
      </c>
      <c r="H48" s="124">
        <f>Лист1!AC41</f>
        <v>15433.735</v>
      </c>
      <c r="I48" s="41">
        <f>Лист1!AG41</f>
        <v>379.14</v>
      </c>
      <c r="J48" s="16">
        <f>Лист1!AI41+Лист1!AJ41</f>
        <v>631.9</v>
      </c>
      <c r="K48" s="16">
        <f>Лист1!AH41+Лист1!AK41+Лист1!AL41+Лист1!AM41+Лист1!AN41+Лист1!AO41+Лист1!AP41+Лист1!AQ41+Лист1!AR41</f>
        <v>2167.417</v>
      </c>
      <c r="L48" s="17">
        <f>Лист1!AS41+Лист1!AT41+Лист1!AU41</f>
        <v>11151</v>
      </c>
      <c r="M48" s="17">
        <f>Лист1!AX41</f>
        <v>215.87999999999997</v>
      </c>
      <c r="N48" s="106">
        <f>SUM(I48:M48)</f>
        <v>14545.337</v>
      </c>
      <c r="O48" s="43">
        <f>Лист1!BE41</f>
        <v>888.398000000001</v>
      </c>
      <c r="P48" s="110">
        <f>Лист1!BF41</f>
        <v>-32.19999999999982</v>
      </c>
      <c r="Q48" s="1"/>
      <c r="R48" s="1"/>
    </row>
    <row r="49" spans="1:18" s="24" customFormat="1" ht="13.5" thickBot="1">
      <c r="A49" s="45" t="s">
        <v>3</v>
      </c>
      <c r="B49" s="46"/>
      <c r="C49" s="49">
        <f aca="true" t="shared" si="5" ref="C49:P49">SUM(C37:C48)</f>
        <v>65584.29999999999</v>
      </c>
      <c r="D49" s="51">
        <f t="shared" si="5"/>
        <v>45774.20000000001</v>
      </c>
      <c r="E49" s="50">
        <f t="shared" si="5"/>
        <v>27238.280000000006</v>
      </c>
      <c r="F49" s="47">
        <f t="shared" si="5"/>
        <v>2571.82</v>
      </c>
      <c r="G49" s="48">
        <f t="shared" si="5"/>
        <v>24085.62</v>
      </c>
      <c r="H49" s="94">
        <f t="shared" si="5"/>
        <v>72431.64000000001</v>
      </c>
      <c r="I49" s="50">
        <f t="shared" si="5"/>
        <v>4549.2</v>
      </c>
      <c r="J49" s="47">
        <f t="shared" si="5"/>
        <v>7581.999999999998</v>
      </c>
      <c r="K49" s="47">
        <f t="shared" si="5"/>
        <v>26006.260000000006</v>
      </c>
      <c r="L49" s="47">
        <f t="shared" si="5"/>
        <v>12656.8</v>
      </c>
      <c r="M49" s="47">
        <f t="shared" si="5"/>
        <v>1847.9999999999998</v>
      </c>
      <c r="N49" s="86">
        <f t="shared" si="5"/>
        <v>52642.259999999995</v>
      </c>
      <c r="O49" s="51">
        <f t="shared" si="5"/>
        <v>19789.380000000012</v>
      </c>
      <c r="P49" s="113">
        <f t="shared" si="5"/>
        <v>-3152.659999999998</v>
      </c>
      <c r="Q49" s="53"/>
      <c r="R49" s="53"/>
    </row>
    <row r="50" spans="1:18" ht="13.5" thickBot="1">
      <c r="A50" s="88" t="s">
        <v>67</v>
      </c>
      <c r="B50" s="89"/>
      <c r="C50" s="90"/>
      <c r="D50" s="117"/>
      <c r="E50" s="89"/>
      <c r="F50" s="89"/>
      <c r="G50" s="88"/>
      <c r="H50" s="128"/>
      <c r="I50" s="89"/>
      <c r="J50" s="89"/>
      <c r="K50" s="89"/>
      <c r="L50" s="89"/>
      <c r="M50" s="89"/>
      <c r="N50" s="91"/>
      <c r="O50" s="117"/>
      <c r="P50" s="114"/>
      <c r="Q50" s="1"/>
      <c r="R50" s="1"/>
    </row>
    <row r="51" spans="1:18" s="24" customFormat="1" ht="13.5" thickBot="1">
      <c r="A51" s="58" t="s">
        <v>52</v>
      </c>
      <c r="B51" s="59"/>
      <c r="C51" s="60">
        <f>C35+C49</f>
        <v>147547.375</v>
      </c>
      <c r="D51" s="62">
        <f aca="true" t="shared" si="6" ref="D51:P51">D35+D49</f>
        <v>76266.48957255002</v>
      </c>
      <c r="E51" s="122">
        <f t="shared" si="6"/>
        <v>57406.41</v>
      </c>
      <c r="F51" s="121">
        <f t="shared" si="6"/>
        <v>7989.57</v>
      </c>
      <c r="G51" s="61">
        <f t="shared" si="6"/>
        <v>49413.81</v>
      </c>
      <c r="H51" s="87">
        <f t="shared" si="6"/>
        <v>133669.86957255003</v>
      </c>
      <c r="I51" s="122">
        <f t="shared" si="6"/>
        <v>10082.892</v>
      </c>
      <c r="J51" s="59">
        <f t="shared" si="6"/>
        <v>16737.967877864998</v>
      </c>
      <c r="K51" s="59">
        <f t="shared" si="6"/>
        <v>57420.99630964281</v>
      </c>
      <c r="L51" s="59">
        <f t="shared" si="6"/>
        <v>32688.3838</v>
      </c>
      <c r="M51" s="59">
        <f t="shared" si="6"/>
        <v>3592.5119999999997</v>
      </c>
      <c r="N51" s="95">
        <f t="shared" si="6"/>
        <v>120522.7519875078</v>
      </c>
      <c r="O51" s="62">
        <f t="shared" si="6"/>
        <v>13147.117585042217</v>
      </c>
      <c r="P51" s="115">
        <f t="shared" si="6"/>
        <v>-7992.599999999996</v>
      </c>
      <c r="Q51" s="63"/>
      <c r="R51" s="53"/>
    </row>
    <row r="54" spans="1:18" ht="12.75">
      <c r="A54" s="64"/>
      <c r="Q54" s="1"/>
      <c r="R54" s="1"/>
    </row>
    <row r="55" spans="1:18" ht="12.75">
      <c r="A55" s="24" t="s">
        <v>92</v>
      </c>
      <c r="D55" s="2" t="s">
        <v>94</v>
      </c>
      <c r="Q55" s="1"/>
      <c r="R55" s="1"/>
    </row>
    <row r="56" spans="1:18" ht="12.75">
      <c r="A56" s="26" t="s">
        <v>68</v>
      </c>
      <c r="B56" s="26" t="s">
        <v>69</v>
      </c>
      <c r="C56" s="438" t="s">
        <v>70</v>
      </c>
      <c r="D56" s="438"/>
      <c r="Q56" s="1"/>
      <c r="R56" s="1"/>
    </row>
    <row r="57" spans="1:18" ht="12.75">
      <c r="A57" s="74">
        <v>11566.11</v>
      </c>
      <c r="B57" s="76">
        <v>0</v>
      </c>
      <c r="C57" s="439">
        <f>A57-B57</f>
        <v>11566.11</v>
      </c>
      <c r="D57" s="440"/>
      <c r="Q57" s="1"/>
      <c r="R57" s="1"/>
    </row>
    <row r="58" spans="1:18" ht="12.75">
      <c r="A58" s="64"/>
      <c r="Q58" s="1"/>
      <c r="R58" s="1"/>
    </row>
    <row r="59" spans="1:18" ht="12.75">
      <c r="A59" s="64"/>
      <c r="Q59" s="1"/>
      <c r="R59" s="1"/>
    </row>
    <row r="60" spans="1:18" ht="12.75">
      <c r="A60" s="2" t="s">
        <v>71</v>
      </c>
      <c r="G60" s="2" t="s">
        <v>72</v>
      </c>
      <c r="Q60" s="1"/>
      <c r="R60" s="1"/>
    </row>
    <row r="61" ht="12.75">
      <c r="A61" s="1"/>
    </row>
    <row r="62" ht="12.75">
      <c r="A62" s="1"/>
    </row>
    <row r="63" ht="12.75">
      <c r="A63" s="1" t="s">
        <v>95</v>
      </c>
    </row>
    <row r="64" ht="12.75">
      <c r="A64" s="2" t="s">
        <v>73</v>
      </c>
    </row>
  </sheetData>
  <sheetProtection/>
  <mergeCells count="21">
    <mergeCell ref="L12:L13"/>
    <mergeCell ref="G10:H11"/>
    <mergeCell ref="A6:O6"/>
    <mergeCell ref="A10:A13"/>
    <mergeCell ref="B10:B13"/>
    <mergeCell ref="C10:C13"/>
    <mergeCell ref="D10:D13"/>
    <mergeCell ref="E10:F11"/>
    <mergeCell ref="I10:N11"/>
    <mergeCell ref="O10:O13"/>
    <mergeCell ref="K12:K13"/>
    <mergeCell ref="C56:D56"/>
    <mergeCell ref="C57:D57"/>
    <mergeCell ref="N12:N13"/>
    <mergeCell ref="M12:M13"/>
    <mergeCell ref="A7:G7"/>
    <mergeCell ref="P10:P13"/>
    <mergeCell ref="E12:F12"/>
    <mergeCell ref="H12:H13"/>
    <mergeCell ref="I12:I13"/>
    <mergeCell ref="J12:J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W3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G38" sqref="BC38:BG38"/>
    </sheetView>
  </sheetViews>
  <sheetFormatPr defaultColWidth="9.00390625" defaultRowHeight="12.75"/>
  <cols>
    <col min="1" max="1" width="8.75390625" style="254" bestFit="1" customWidth="1"/>
    <col min="2" max="2" width="9.125" style="254" customWidth="1"/>
    <col min="3" max="3" width="10.125" style="254" customWidth="1"/>
    <col min="4" max="4" width="10.375" style="254" customWidth="1"/>
    <col min="5" max="6" width="9.125" style="254" customWidth="1"/>
    <col min="7" max="7" width="10.25390625" style="254" customWidth="1"/>
    <col min="8" max="8" width="9.125" style="254" customWidth="1"/>
    <col min="9" max="9" width="9.875" style="254" customWidth="1"/>
    <col min="10" max="10" width="9.125" style="254" customWidth="1"/>
    <col min="11" max="11" width="10.375" style="254" customWidth="1"/>
    <col min="12" max="12" width="9.125" style="254" customWidth="1"/>
    <col min="13" max="13" width="10.125" style="254" bestFit="1" customWidth="1"/>
    <col min="14" max="14" width="9.125" style="254" customWidth="1"/>
    <col min="15" max="15" width="10.125" style="254" bestFit="1" customWidth="1"/>
    <col min="16" max="18" width="9.125" style="254" customWidth="1"/>
    <col min="19" max="19" width="10.125" style="254" bestFit="1" customWidth="1"/>
    <col min="20" max="20" width="10.125" style="254" customWidth="1"/>
    <col min="21" max="21" width="10.125" style="254" bestFit="1" customWidth="1"/>
    <col min="22" max="22" width="10.25390625" style="254" customWidth="1"/>
    <col min="23" max="23" width="10.625" style="254" customWidth="1"/>
    <col min="24" max="24" width="10.125" style="254" customWidth="1"/>
    <col min="25" max="28" width="10.125" style="254" bestFit="1" customWidth="1"/>
    <col min="29" max="30" width="11.375" style="254" customWidth="1"/>
    <col min="31" max="31" width="9.25390625" style="254" bestFit="1" customWidth="1"/>
    <col min="32" max="32" width="10.125" style="254" bestFit="1" customWidth="1"/>
    <col min="33" max="33" width="10.25390625" style="254" customWidth="1"/>
    <col min="34" max="35" width="9.25390625" style="254" bestFit="1" customWidth="1"/>
    <col min="36" max="36" width="10.75390625" style="254" customWidth="1"/>
    <col min="37" max="38" width="9.25390625" style="254" bestFit="1" customWidth="1"/>
    <col min="39" max="39" width="10.125" style="254" bestFit="1" customWidth="1"/>
    <col min="40" max="40" width="9.25390625" style="254" bestFit="1" customWidth="1"/>
    <col min="41" max="42" width="10.125" style="254" bestFit="1" customWidth="1"/>
    <col min="43" max="45" width="9.25390625" style="254" customWidth="1"/>
    <col min="46" max="46" width="10.125" style="254" bestFit="1" customWidth="1"/>
    <col min="47" max="47" width="11.625" style="254" customWidth="1"/>
    <col min="48" max="48" width="10.875" style="254" customWidth="1"/>
    <col min="49" max="49" width="10.625" style="254" customWidth="1"/>
    <col min="50" max="50" width="9.25390625" style="254" customWidth="1"/>
    <col min="51" max="51" width="10.625" style="254" customWidth="1"/>
    <col min="52" max="52" width="9.25390625" style="254" bestFit="1" customWidth="1"/>
    <col min="53" max="54" width="10.125" style="254" bestFit="1" customWidth="1"/>
    <col min="55" max="55" width="11.625" style="254" customWidth="1"/>
    <col min="56" max="56" width="11.00390625" style="254" customWidth="1"/>
    <col min="57" max="57" width="11.375" style="254" customWidth="1"/>
    <col min="58" max="58" width="14.00390625" style="254" customWidth="1"/>
    <col min="59" max="59" width="9.75390625" style="254" bestFit="1" customWidth="1"/>
    <col min="60" max="16384" width="9.125" style="254" customWidth="1"/>
  </cols>
  <sheetData>
    <row r="1" spans="1:18" ht="21" customHeight="1">
      <c r="A1" s="392" t="s">
        <v>97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253"/>
      <c r="P1" s="253"/>
      <c r="Q1" s="253"/>
      <c r="R1" s="253"/>
    </row>
    <row r="2" spans="1:18" ht="13.5" thickBot="1">
      <c r="A2" s="253"/>
      <c r="B2" s="255"/>
      <c r="C2" s="256"/>
      <c r="D2" s="256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</row>
    <row r="3" spans="1:59" ht="29.25" customHeight="1" thickBot="1">
      <c r="A3" s="388" t="s">
        <v>98</v>
      </c>
      <c r="B3" s="394" t="s">
        <v>0</v>
      </c>
      <c r="C3" s="396" t="s">
        <v>1</v>
      </c>
      <c r="D3" s="398" t="s">
        <v>2</v>
      </c>
      <c r="E3" s="388" t="s">
        <v>99</v>
      </c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389"/>
      <c r="S3" s="388"/>
      <c r="T3" s="403"/>
      <c r="U3" s="388" t="s">
        <v>3</v>
      </c>
      <c r="V3" s="403"/>
      <c r="W3" s="419" t="s">
        <v>4</v>
      </c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510"/>
      <c r="AJ3" s="512" t="s">
        <v>78</v>
      </c>
      <c r="AK3" s="431" t="s">
        <v>8</v>
      </c>
      <c r="AL3" s="432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  <c r="AZ3" s="432"/>
      <c r="BA3" s="432"/>
      <c r="BB3" s="432"/>
      <c r="BC3" s="432"/>
      <c r="BD3" s="432"/>
      <c r="BE3" s="433"/>
      <c r="BF3" s="410" t="s">
        <v>9</v>
      </c>
      <c r="BG3" s="499" t="s">
        <v>10</v>
      </c>
    </row>
    <row r="4" spans="1:59" ht="51.75" customHeight="1" hidden="1" thickBot="1">
      <c r="A4" s="393"/>
      <c r="B4" s="395"/>
      <c r="C4" s="397"/>
      <c r="D4" s="399"/>
      <c r="E4" s="393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9"/>
      <c r="S4" s="390"/>
      <c r="T4" s="404"/>
      <c r="U4" s="390"/>
      <c r="V4" s="404"/>
      <c r="W4" s="421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511"/>
      <c r="AJ4" s="513"/>
      <c r="AK4" s="382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5"/>
      <c r="BF4" s="411"/>
      <c r="BG4" s="500"/>
    </row>
    <row r="5" spans="1:59" ht="19.5" customHeight="1">
      <c r="A5" s="393"/>
      <c r="B5" s="395"/>
      <c r="C5" s="397"/>
      <c r="D5" s="399"/>
      <c r="E5" s="502" t="s">
        <v>11</v>
      </c>
      <c r="F5" s="503"/>
      <c r="G5" s="502" t="s">
        <v>100</v>
      </c>
      <c r="H5" s="503"/>
      <c r="I5" s="502" t="s">
        <v>12</v>
      </c>
      <c r="J5" s="503"/>
      <c r="K5" s="502" t="s">
        <v>14</v>
      </c>
      <c r="L5" s="503"/>
      <c r="M5" s="502" t="s">
        <v>13</v>
      </c>
      <c r="N5" s="503"/>
      <c r="O5" s="506" t="s">
        <v>15</v>
      </c>
      <c r="P5" s="506"/>
      <c r="Q5" s="502" t="s">
        <v>101</v>
      </c>
      <c r="R5" s="503"/>
      <c r="S5" s="506" t="s">
        <v>102</v>
      </c>
      <c r="T5" s="503"/>
      <c r="U5" s="379" t="s">
        <v>18</v>
      </c>
      <c r="V5" s="375" t="s">
        <v>19</v>
      </c>
      <c r="W5" s="495" t="s">
        <v>20</v>
      </c>
      <c r="X5" s="495" t="s">
        <v>103</v>
      </c>
      <c r="Y5" s="495" t="s">
        <v>21</v>
      </c>
      <c r="Z5" s="495" t="s">
        <v>23</v>
      </c>
      <c r="AA5" s="495" t="s">
        <v>22</v>
      </c>
      <c r="AB5" s="495" t="s">
        <v>24</v>
      </c>
      <c r="AC5" s="495" t="s">
        <v>25</v>
      </c>
      <c r="AD5" s="497" t="s">
        <v>26</v>
      </c>
      <c r="AE5" s="497" t="s">
        <v>104</v>
      </c>
      <c r="AF5" s="486" t="s">
        <v>27</v>
      </c>
      <c r="AG5" s="488" t="s">
        <v>77</v>
      </c>
      <c r="AH5" s="490" t="s">
        <v>6</v>
      </c>
      <c r="AI5" s="492" t="s">
        <v>7</v>
      </c>
      <c r="AJ5" s="513"/>
      <c r="AK5" s="494" t="s">
        <v>105</v>
      </c>
      <c r="AL5" s="485" t="s">
        <v>106</v>
      </c>
      <c r="AM5" s="485" t="s">
        <v>107</v>
      </c>
      <c r="AN5" s="425" t="s">
        <v>108</v>
      </c>
      <c r="AO5" s="485" t="s">
        <v>109</v>
      </c>
      <c r="AP5" s="425" t="s">
        <v>110</v>
      </c>
      <c r="AQ5" s="425" t="s">
        <v>111</v>
      </c>
      <c r="AR5" s="425" t="s">
        <v>112</v>
      </c>
      <c r="AS5" s="425" t="s">
        <v>113</v>
      </c>
      <c r="AT5" s="425" t="s">
        <v>34</v>
      </c>
      <c r="AU5" s="482" t="s">
        <v>114</v>
      </c>
      <c r="AV5" s="371" t="s">
        <v>115</v>
      </c>
      <c r="AW5" s="482" t="s">
        <v>116</v>
      </c>
      <c r="AX5" s="483" t="s">
        <v>117</v>
      </c>
      <c r="AY5" s="257"/>
      <c r="AZ5" s="429" t="s">
        <v>17</v>
      </c>
      <c r="BA5" s="425" t="s">
        <v>36</v>
      </c>
      <c r="BB5" s="425" t="s">
        <v>31</v>
      </c>
      <c r="BC5" s="480" t="s">
        <v>37</v>
      </c>
      <c r="BD5" s="413" t="s">
        <v>80</v>
      </c>
      <c r="BE5" s="425" t="s">
        <v>81</v>
      </c>
      <c r="BF5" s="411"/>
      <c r="BG5" s="500"/>
    </row>
    <row r="6" spans="1:59" ht="63.75" customHeight="1" thickBot="1">
      <c r="A6" s="393"/>
      <c r="B6" s="395"/>
      <c r="C6" s="397"/>
      <c r="D6" s="399"/>
      <c r="E6" s="504"/>
      <c r="F6" s="505"/>
      <c r="G6" s="504"/>
      <c r="H6" s="505"/>
      <c r="I6" s="504"/>
      <c r="J6" s="505"/>
      <c r="K6" s="504"/>
      <c r="L6" s="505"/>
      <c r="M6" s="504"/>
      <c r="N6" s="505"/>
      <c r="O6" s="507"/>
      <c r="P6" s="507"/>
      <c r="Q6" s="504"/>
      <c r="R6" s="505"/>
      <c r="S6" s="508"/>
      <c r="T6" s="505"/>
      <c r="U6" s="509"/>
      <c r="V6" s="515"/>
      <c r="W6" s="496"/>
      <c r="X6" s="496"/>
      <c r="Y6" s="496"/>
      <c r="Z6" s="496"/>
      <c r="AA6" s="496"/>
      <c r="AB6" s="496"/>
      <c r="AC6" s="496"/>
      <c r="AD6" s="498"/>
      <c r="AE6" s="498"/>
      <c r="AF6" s="487"/>
      <c r="AG6" s="489"/>
      <c r="AH6" s="491"/>
      <c r="AI6" s="493"/>
      <c r="AJ6" s="514"/>
      <c r="AK6" s="424"/>
      <c r="AL6" s="387"/>
      <c r="AM6" s="387"/>
      <c r="AN6" s="370"/>
      <c r="AO6" s="387"/>
      <c r="AP6" s="370"/>
      <c r="AQ6" s="370"/>
      <c r="AR6" s="370"/>
      <c r="AS6" s="370"/>
      <c r="AT6" s="370"/>
      <c r="AU6" s="368"/>
      <c r="AV6" s="372"/>
      <c r="AW6" s="368"/>
      <c r="AX6" s="484"/>
      <c r="AY6" s="135" t="s">
        <v>118</v>
      </c>
      <c r="AZ6" s="430"/>
      <c r="BA6" s="370"/>
      <c r="BB6" s="370"/>
      <c r="BC6" s="481"/>
      <c r="BD6" s="415"/>
      <c r="BE6" s="370"/>
      <c r="BF6" s="412"/>
      <c r="BG6" s="501"/>
    </row>
    <row r="7" spans="1:59" ht="19.5" customHeight="1" thickBot="1">
      <c r="A7" s="258">
        <v>1</v>
      </c>
      <c r="B7" s="38">
        <v>2</v>
      </c>
      <c r="C7" s="38">
        <v>3</v>
      </c>
      <c r="D7" s="258">
        <v>4</v>
      </c>
      <c r="E7" s="38">
        <v>5</v>
      </c>
      <c r="F7" s="38">
        <v>6</v>
      </c>
      <c r="G7" s="258">
        <v>7</v>
      </c>
      <c r="H7" s="38">
        <v>8</v>
      </c>
      <c r="I7" s="38">
        <v>9</v>
      </c>
      <c r="J7" s="258">
        <v>10</v>
      </c>
      <c r="K7" s="38">
        <v>11</v>
      </c>
      <c r="L7" s="38">
        <v>12</v>
      </c>
      <c r="M7" s="258">
        <v>13</v>
      </c>
      <c r="N7" s="38">
        <v>14</v>
      </c>
      <c r="O7" s="38">
        <v>15</v>
      </c>
      <c r="P7" s="38">
        <v>16</v>
      </c>
      <c r="Q7" s="38">
        <v>17</v>
      </c>
      <c r="R7" s="38">
        <v>18</v>
      </c>
      <c r="S7" s="258">
        <v>19</v>
      </c>
      <c r="T7" s="38">
        <v>20</v>
      </c>
      <c r="U7" s="38">
        <v>21</v>
      </c>
      <c r="V7" s="258">
        <v>22</v>
      </c>
      <c r="W7" s="38">
        <v>23</v>
      </c>
      <c r="X7" s="258">
        <v>24</v>
      </c>
      <c r="Y7" s="38">
        <v>25</v>
      </c>
      <c r="Z7" s="258">
        <v>26</v>
      </c>
      <c r="AA7" s="38">
        <v>27</v>
      </c>
      <c r="AB7" s="258">
        <v>28</v>
      </c>
      <c r="AC7" s="38">
        <v>29</v>
      </c>
      <c r="AD7" s="258">
        <v>30</v>
      </c>
      <c r="AE7" s="258">
        <v>31</v>
      </c>
      <c r="AF7" s="38">
        <v>32</v>
      </c>
      <c r="AG7" s="258">
        <v>33</v>
      </c>
      <c r="AH7" s="38">
        <v>34</v>
      </c>
      <c r="AI7" s="258">
        <v>35</v>
      </c>
      <c r="AJ7" s="38">
        <v>36</v>
      </c>
      <c r="AK7" s="258">
        <v>37</v>
      </c>
      <c r="AL7" s="38">
        <v>38</v>
      </c>
      <c r="AM7" s="258">
        <v>39</v>
      </c>
      <c r="AN7" s="258">
        <v>40</v>
      </c>
      <c r="AO7" s="38">
        <v>41</v>
      </c>
      <c r="AP7" s="258">
        <v>42</v>
      </c>
      <c r="AQ7" s="38">
        <v>43</v>
      </c>
      <c r="AR7" s="258">
        <v>44</v>
      </c>
      <c r="AS7" s="38">
        <v>45</v>
      </c>
      <c r="AT7" s="258">
        <v>46</v>
      </c>
      <c r="AU7" s="258">
        <v>46</v>
      </c>
      <c r="AV7" s="38">
        <v>47</v>
      </c>
      <c r="AW7" s="258">
        <v>48</v>
      </c>
      <c r="AX7" s="258">
        <v>49</v>
      </c>
      <c r="AY7" s="38"/>
      <c r="AZ7" s="38">
        <v>50</v>
      </c>
      <c r="BA7" s="38">
        <v>51</v>
      </c>
      <c r="BB7" s="38">
        <v>52</v>
      </c>
      <c r="BC7" s="38">
        <v>53</v>
      </c>
      <c r="BD7" s="38">
        <v>54</v>
      </c>
      <c r="BE7" s="38"/>
      <c r="BF7" s="38">
        <v>55</v>
      </c>
      <c r="BG7" s="38">
        <v>56</v>
      </c>
    </row>
    <row r="8" spans="1:59" s="24" customFormat="1" ht="13.5" thickBot="1">
      <c r="A8" s="27" t="s">
        <v>52</v>
      </c>
      <c r="B8" s="259"/>
      <c r="C8" s="259">
        <f>Лист1!C44</f>
        <v>147547.375</v>
      </c>
      <c r="D8" s="259">
        <f>Лист1!D44</f>
        <v>76266.48957255002</v>
      </c>
      <c r="E8" s="259">
        <f>Лист1!E44</f>
        <v>6627.789999999999</v>
      </c>
      <c r="F8" s="259">
        <f>Лист1!F44</f>
        <v>922.51</v>
      </c>
      <c r="G8" s="259">
        <f>0</f>
        <v>0</v>
      </c>
      <c r="H8" s="259">
        <f>0</f>
        <v>0</v>
      </c>
      <c r="I8" s="259">
        <f>Лист1!G44</f>
        <v>8972.5</v>
      </c>
      <c r="J8" s="259">
        <f>Лист1!H44</f>
        <v>1248.9499999999998</v>
      </c>
      <c r="K8" s="259">
        <f>Лист1!K44</f>
        <v>14937.3</v>
      </c>
      <c r="L8" s="259">
        <f>Лист1!L44</f>
        <v>2079.13</v>
      </c>
      <c r="M8" s="259">
        <f>Лист1!I44</f>
        <v>21566.68</v>
      </c>
      <c r="N8" s="259">
        <f>Лист1!J44</f>
        <v>3001.1000000000004</v>
      </c>
      <c r="O8" s="259">
        <f>Лист1!M44</f>
        <v>5302.14</v>
      </c>
      <c r="P8" s="259">
        <f>Лист1!N44</f>
        <v>737.88</v>
      </c>
      <c r="Q8" s="259">
        <f>'[2]Лист1'!O44</f>
        <v>0</v>
      </c>
      <c r="R8" s="259">
        <f>'[2]Лист1'!P44</f>
        <v>0</v>
      </c>
      <c r="S8" s="259">
        <f>'[2]Лист1'!Q44</f>
        <v>0</v>
      </c>
      <c r="T8" s="259">
        <f>'[2]Лист1'!R44</f>
        <v>0</v>
      </c>
      <c r="U8" s="259">
        <f>Лист1!S44</f>
        <v>57406.41</v>
      </c>
      <c r="V8" s="259">
        <f>Лист1!T44</f>
        <v>7989.57</v>
      </c>
      <c r="W8" s="259">
        <f>Лист1!U44</f>
        <v>5705.59</v>
      </c>
      <c r="X8" s="259">
        <v>0</v>
      </c>
      <c r="Y8" s="259">
        <f>Лист1!V44</f>
        <v>7722.400000000001</v>
      </c>
      <c r="Z8" s="259">
        <f>Лист1!X44</f>
        <v>12857.210000000001</v>
      </c>
      <c r="AA8" s="259">
        <f>Лист1!W44</f>
        <v>18564.28</v>
      </c>
      <c r="AB8" s="259">
        <f>Лист1!Y44</f>
        <v>4564.33</v>
      </c>
      <c r="AC8" s="259">
        <f>'[3]Лист1'!Z42</f>
        <v>0</v>
      </c>
      <c r="AD8" s="259">
        <f>'[3]Лист1'!AA42</f>
        <v>0</v>
      </c>
      <c r="AE8" s="259">
        <f>0</f>
        <v>0</v>
      </c>
      <c r="AF8" s="259">
        <f>Лист1!AB44</f>
        <v>49413.81</v>
      </c>
      <c r="AG8" s="259">
        <f>Лист1!AC44</f>
        <v>133669.86957255003</v>
      </c>
      <c r="AH8" s="259">
        <f>'[3]Лист1'!AD42</f>
        <v>0</v>
      </c>
      <c r="AI8" s="259">
        <f>'[3]Лист1'!AE42</f>
        <v>0</v>
      </c>
      <c r="AJ8" s="259">
        <f>'[4]Лист1'!AF44</f>
        <v>0</v>
      </c>
      <c r="AK8" s="259">
        <f>Лист1!AG44</f>
        <v>10082.892</v>
      </c>
      <c r="AL8" s="259">
        <f>Лист1!AH44</f>
        <v>3378.5960104</v>
      </c>
      <c r="AM8" s="259">
        <f>Лист1!AI44+Лист1!AJ44</f>
        <v>16737.967877864998</v>
      </c>
      <c r="AN8" s="259">
        <v>0</v>
      </c>
      <c r="AO8" s="259">
        <f>Лист1!AK44+Лист1!AL44</f>
        <v>16694.749909196995</v>
      </c>
      <c r="AP8" s="259">
        <f>Лист1!AM44+Лист1!AN44</f>
        <v>37347.6503900458</v>
      </c>
      <c r="AQ8" s="259">
        <v>0</v>
      </c>
      <c r="AR8" s="259">
        <v>0</v>
      </c>
      <c r="AS8" s="259">
        <v>0</v>
      </c>
      <c r="AT8" s="259">
        <f>'[1]Лист1'!AO44</f>
        <v>0</v>
      </c>
      <c r="AU8" s="259">
        <f>Лист1!AS44+Лист1!AU44</f>
        <v>21489.5838</v>
      </c>
      <c r="AV8" s="259">
        <v>0</v>
      </c>
      <c r="AW8" s="259">
        <f>Лист1!AT44</f>
        <v>11198.8</v>
      </c>
      <c r="AX8" s="259">
        <f>'[4]Лист1'!AQ44+'[4]Лист1'!AR44</f>
        <v>0</v>
      </c>
      <c r="AY8" s="260">
        <f>Лист1!AX44</f>
        <v>3592.5119999999997</v>
      </c>
      <c r="AZ8" s="260">
        <f>'[2]Лист1'!AY44</f>
        <v>0</v>
      </c>
      <c r="BA8" s="260">
        <v>0</v>
      </c>
      <c r="BB8" s="260">
        <v>0</v>
      </c>
      <c r="BC8" s="260">
        <f>Лист1!BB44</f>
        <v>120522.7519875078</v>
      </c>
      <c r="BD8" s="259">
        <f>'[5]Лист1'!BC44</f>
        <v>0</v>
      </c>
      <c r="BE8" s="259">
        <f>BC8</f>
        <v>120522.7519875078</v>
      </c>
      <c r="BF8" s="261">
        <f>Лист1!BE44</f>
        <v>13147.117585042217</v>
      </c>
      <c r="BG8" s="261">
        <f>Лист1!BF44</f>
        <v>-7992.599999999996</v>
      </c>
    </row>
    <row r="9" spans="1:59" ht="12.75">
      <c r="A9" s="5" t="s">
        <v>119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3"/>
      <c r="BF9" s="261"/>
      <c r="BG9" s="261"/>
    </row>
    <row r="10" spans="1:59" ht="12.75">
      <c r="A10" s="264" t="s">
        <v>43</v>
      </c>
      <c r="B10" s="225">
        <v>631.9</v>
      </c>
      <c r="C10" s="226">
        <f>(B10*0.87)*0.5+((B10*5.17)*0.5+(B10*2.51)*0.5)</f>
        <v>2701.3724999999995</v>
      </c>
      <c r="D10" s="137">
        <v>216.342</v>
      </c>
      <c r="E10" s="231">
        <v>0</v>
      </c>
      <c r="F10" s="231">
        <v>0</v>
      </c>
      <c r="G10" s="228">
        <v>3295.71</v>
      </c>
      <c r="H10" s="228">
        <v>0</v>
      </c>
      <c r="I10" s="228">
        <v>0</v>
      </c>
      <c r="J10" s="228">
        <v>0</v>
      </c>
      <c r="K10" s="228">
        <v>0</v>
      </c>
      <c r="L10" s="228">
        <v>0</v>
      </c>
      <c r="M10" s="228">
        <v>800.12</v>
      </c>
      <c r="N10" s="228">
        <v>0</v>
      </c>
      <c r="O10" s="229">
        <v>277.4</v>
      </c>
      <c r="P10" s="265">
        <v>0</v>
      </c>
      <c r="Q10" s="266">
        <v>0</v>
      </c>
      <c r="R10" s="267">
        <v>0</v>
      </c>
      <c r="S10" s="268">
        <v>0</v>
      </c>
      <c r="T10" s="269">
        <v>0</v>
      </c>
      <c r="U10" s="270">
        <f aca="true" t="shared" si="0" ref="U10:V21">E10+G10+I10+K10+M10+O10+Q10+S10</f>
        <v>4373.23</v>
      </c>
      <c r="V10" s="271">
        <f t="shared" si="0"/>
        <v>0</v>
      </c>
      <c r="W10" s="228">
        <v>235.92</v>
      </c>
      <c r="X10" s="228"/>
      <c r="Y10" s="228">
        <v>319.7</v>
      </c>
      <c r="Z10" s="228">
        <v>532.04</v>
      </c>
      <c r="AA10" s="228">
        <v>767.98</v>
      </c>
      <c r="AB10" s="228">
        <v>188.71</v>
      </c>
      <c r="AC10" s="228">
        <v>0</v>
      </c>
      <c r="AD10" s="231">
        <v>0</v>
      </c>
      <c r="AE10" s="272">
        <v>0</v>
      </c>
      <c r="AF10" s="272">
        <f>SUM(W10:AE10)</f>
        <v>2044.35</v>
      </c>
      <c r="AG10" s="273">
        <f>AF10+V10+D10</f>
        <v>2260.692</v>
      </c>
      <c r="AH10" s="274">
        <f aca="true" t="shared" si="1" ref="AH10:AI21">AC10</f>
        <v>0</v>
      </c>
      <c r="AI10" s="274">
        <f t="shared" si="1"/>
        <v>0</v>
      </c>
      <c r="AJ10" s="234"/>
      <c r="AK10" s="235">
        <f aca="true" t="shared" si="2" ref="AK10:AK21">0.67*B10</f>
        <v>423.373</v>
      </c>
      <c r="AL10" s="235">
        <f aca="true" t="shared" si="3" ref="AL10:AL21">B10*0.2</f>
        <v>126.38</v>
      </c>
      <c r="AM10" s="235">
        <f aca="true" t="shared" si="4" ref="AM10:AM21">B10*1</f>
        <v>631.9</v>
      </c>
      <c r="AN10" s="235">
        <f aca="true" t="shared" si="5" ref="AN10:AN21">B10*0.21</f>
        <v>132.69899999999998</v>
      </c>
      <c r="AO10" s="235">
        <f aca="true" t="shared" si="6" ref="AO10:AO21">2.02*B10</f>
        <v>1276.4379999999999</v>
      </c>
      <c r="AP10" s="235">
        <f aca="true" t="shared" si="7" ref="AP10:AP21">B10*1.03</f>
        <v>650.857</v>
      </c>
      <c r="AQ10" s="235">
        <f aca="true" t="shared" si="8" ref="AQ10:AQ21">B10*0.75</f>
        <v>473.92499999999995</v>
      </c>
      <c r="AR10" s="235">
        <f aca="true" t="shared" si="9" ref="AR10:AR21">B10*0.75</f>
        <v>473.92499999999995</v>
      </c>
      <c r="AS10" s="235">
        <f>B10*1.15</f>
        <v>726.685</v>
      </c>
      <c r="AT10" s="235"/>
      <c r="AU10" s="237"/>
      <c r="AV10" s="236"/>
      <c r="AW10" s="237"/>
      <c r="AX10" s="237"/>
      <c r="AY10" s="237"/>
      <c r="AZ10" s="240"/>
      <c r="BA10" s="241"/>
      <c r="BB10" s="241">
        <f>BA10*0.18</f>
        <v>0</v>
      </c>
      <c r="BC10" s="241">
        <f aca="true" t="shared" si="10" ref="BC10:BC21">SUM(AK10:BB10)</f>
        <v>4916.182000000001</v>
      </c>
      <c r="BD10" s="242"/>
      <c r="BE10" s="242">
        <f>BC10</f>
        <v>4916.182000000001</v>
      </c>
      <c r="BF10" s="242">
        <f>AG10-BE10</f>
        <v>-2655.4900000000007</v>
      </c>
      <c r="BG10" s="242">
        <f>AF10-U10</f>
        <v>-2328.8799999999997</v>
      </c>
    </row>
    <row r="11" spans="1:59" ht="12.75">
      <c r="A11" s="264" t="s">
        <v>44</v>
      </c>
      <c r="B11" s="225">
        <v>631.9</v>
      </c>
      <c r="C11" s="226">
        <f>(B11*0.87)*0.5+((B11*5.17)*0.5+(B11*2.51)*0.5)</f>
        <v>2701.3724999999995</v>
      </c>
      <c r="D11" s="137">
        <v>216.342</v>
      </c>
      <c r="E11" s="231">
        <v>0</v>
      </c>
      <c r="F11" s="231">
        <v>0</v>
      </c>
      <c r="G11" s="228">
        <v>0.03</v>
      </c>
      <c r="H11" s="228">
        <v>0</v>
      </c>
      <c r="I11" s="228">
        <v>0</v>
      </c>
      <c r="J11" s="228">
        <v>0</v>
      </c>
      <c r="K11" s="228">
        <v>0</v>
      </c>
      <c r="L11" s="228">
        <v>0</v>
      </c>
      <c r="M11" s="228">
        <v>800.12</v>
      </c>
      <c r="N11" s="228">
        <v>0</v>
      </c>
      <c r="O11" s="229">
        <v>277.4</v>
      </c>
      <c r="P11" s="230">
        <v>0</v>
      </c>
      <c r="Q11" s="231">
        <v>0</v>
      </c>
      <c r="R11" s="231">
        <v>0</v>
      </c>
      <c r="S11" s="231">
        <v>0</v>
      </c>
      <c r="T11" s="228">
        <v>0</v>
      </c>
      <c r="U11" s="276">
        <f t="shared" si="0"/>
        <v>1077.55</v>
      </c>
      <c r="V11" s="271">
        <f t="shared" si="0"/>
        <v>0</v>
      </c>
      <c r="W11" s="228">
        <v>39.09</v>
      </c>
      <c r="X11" s="231">
        <v>1694.53</v>
      </c>
      <c r="Y11" s="228">
        <v>53</v>
      </c>
      <c r="Z11" s="228">
        <v>88.2</v>
      </c>
      <c r="AA11" s="228">
        <v>789.36</v>
      </c>
      <c r="AB11" s="228">
        <v>262.99</v>
      </c>
      <c r="AC11" s="228">
        <v>0</v>
      </c>
      <c r="AD11" s="231">
        <v>0</v>
      </c>
      <c r="AE11" s="231">
        <v>0</v>
      </c>
      <c r="AF11" s="272">
        <f>SUM(W11:AE11)</f>
        <v>2927.17</v>
      </c>
      <c r="AG11" s="273">
        <f>AF11+V11+D11</f>
        <v>3143.512</v>
      </c>
      <c r="AH11" s="274">
        <f t="shared" si="1"/>
        <v>0</v>
      </c>
      <c r="AI11" s="274">
        <f t="shared" si="1"/>
        <v>0</v>
      </c>
      <c r="AJ11" s="234"/>
      <c r="AK11" s="235">
        <f t="shared" si="2"/>
        <v>423.373</v>
      </c>
      <c r="AL11" s="235">
        <f t="shared" si="3"/>
        <v>126.38</v>
      </c>
      <c r="AM11" s="235">
        <f t="shared" si="4"/>
        <v>631.9</v>
      </c>
      <c r="AN11" s="235">
        <f t="shared" si="5"/>
        <v>132.69899999999998</v>
      </c>
      <c r="AO11" s="235">
        <f t="shared" si="6"/>
        <v>1276.4379999999999</v>
      </c>
      <c r="AP11" s="235">
        <f t="shared" si="7"/>
        <v>650.857</v>
      </c>
      <c r="AQ11" s="235">
        <f t="shared" si="8"/>
        <v>473.92499999999995</v>
      </c>
      <c r="AR11" s="235">
        <f t="shared" si="9"/>
        <v>473.92499999999995</v>
      </c>
      <c r="AS11" s="235">
        <f>B11*1.15</f>
        <v>726.685</v>
      </c>
      <c r="AT11" s="235"/>
      <c r="AU11" s="237"/>
      <c r="AV11" s="236"/>
      <c r="AW11" s="237"/>
      <c r="AX11" s="237">
        <f>22.56</f>
        <v>22.56</v>
      </c>
      <c r="AY11" s="237"/>
      <c r="AZ11" s="240"/>
      <c r="BA11" s="241"/>
      <c r="BB11" s="241">
        <f>BA11*0.18</f>
        <v>0</v>
      </c>
      <c r="BC11" s="241">
        <f t="shared" si="10"/>
        <v>4938.742000000001</v>
      </c>
      <c r="BD11" s="242"/>
      <c r="BE11" s="242">
        <f aca="true" t="shared" si="11" ref="BE11:BE21">BC11</f>
        <v>4938.742000000001</v>
      </c>
      <c r="BF11" s="242">
        <f aca="true" t="shared" si="12" ref="BF11:BF21">AG11-BE11</f>
        <v>-1795.230000000001</v>
      </c>
      <c r="BG11" s="242">
        <f aca="true" t="shared" si="13" ref="BG11:BG21">AF11-U11</f>
        <v>1849.6200000000001</v>
      </c>
    </row>
    <row r="12" spans="1:59" ht="12.75">
      <c r="A12" s="264" t="s">
        <v>45</v>
      </c>
      <c r="B12" s="225">
        <v>631.9</v>
      </c>
      <c r="C12" s="226">
        <f>(B12*0.87)*0.5+((B12*5.17)*0.5+(B12*2.51)*0.5)</f>
        <v>2701.3724999999995</v>
      </c>
      <c r="D12" s="137">
        <v>216.342</v>
      </c>
      <c r="E12" s="231">
        <v>0</v>
      </c>
      <c r="F12" s="231">
        <v>0</v>
      </c>
      <c r="G12" s="228">
        <v>1647.87</v>
      </c>
      <c r="H12" s="228">
        <v>0</v>
      </c>
      <c r="I12" s="228">
        <v>0</v>
      </c>
      <c r="J12" s="228">
        <v>0</v>
      </c>
      <c r="K12" s="228">
        <v>0</v>
      </c>
      <c r="L12" s="228">
        <v>0</v>
      </c>
      <c r="M12" s="228">
        <v>800.12</v>
      </c>
      <c r="N12" s="228">
        <v>0</v>
      </c>
      <c r="O12" s="229">
        <v>277.4</v>
      </c>
      <c r="P12" s="265">
        <v>0</v>
      </c>
      <c r="Q12" s="277">
        <v>0</v>
      </c>
      <c r="R12" s="277">
        <v>0</v>
      </c>
      <c r="S12" s="277">
        <v>0</v>
      </c>
      <c r="T12" s="228">
        <v>0</v>
      </c>
      <c r="U12" s="228">
        <f t="shared" si="0"/>
        <v>2725.39</v>
      </c>
      <c r="V12" s="232">
        <f t="shared" si="0"/>
        <v>0</v>
      </c>
      <c r="W12" s="244">
        <v>0.9</v>
      </c>
      <c r="X12" s="231">
        <v>745.1</v>
      </c>
      <c r="Y12" s="228">
        <v>1.22</v>
      </c>
      <c r="Z12" s="228">
        <v>2.04</v>
      </c>
      <c r="AA12" s="228">
        <v>2486.45</v>
      </c>
      <c r="AB12" s="228">
        <v>168.59</v>
      </c>
      <c r="AC12" s="228">
        <v>0</v>
      </c>
      <c r="AD12" s="231">
        <v>0</v>
      </c>
      <c r="AE12" s="228">
        <v>0</v>
      </c>
      <c r="AF12" s="278">
        <f>SUM(W12:AE12)</f>
        <v>3404.3</v>
      </c>
      <c r="AG12" s="273">
        <f>AF12+V12+D12</f>
        <v>3620.6420000000003</v>
      </c>
      <c r="AH12" s="274">
        <f t="shared" si="1"/>
        <v>0</v>
      </c>
      <c r="AI12" s="274">
        <f t="shared" si="1"/>
        <v>0</v>
      </c>
      <c r="AJ12" s="234"/>
      <c r="AK12" s="235">
        <f t="shared" si="2"/>
        <v>423.373</v>
      </c>
      <c r="AL12" s="235">
        <f t="shared" si="3"/>
        <v>126.38</v>
      </c>
      <c r="AM12" s="235">
        <f t="shared" si="4"/>
        <v>631.9</v>
      </c>
      <c r="AN12" s="235">
        <f t="shared" si="5"/>
        <v>132.69899999999998</v>
      </c>
      <c r="AO12" s="235">
        <f t="shared" si="6"/>
        <v>1276.4379999999999</v>
      </c>
      <c r="AP12" s="235">
        <f t="shared" si="7"/>
        <v>650.857</v>
      </c>
      <c r="AQ12" s="235">
        <f t="shared" si="8"/>
        <v>473.92499999999995</v>
      </c>
      <c r="AR12" s="235">
        <f t="shared" si="9"/>
        <v>473.92499999999995</v>
      </c>
      <c r="AS12" s="235">
        <f>B12*1.15</f>
        <v>726.685</v>
      </c>
      <c r="AT12" s="235"/>
      <c r="AU12" s="237"/>
      <c r="AV12" s="279"/>
      <c r="AW12" s="237"/>
      <c r="AX12" s="237"/>
      <c r="AY12" s="237"/>
      <c r="AZ12" s="240"/>
      <c r="BA12" s="241"/>
      <c r="BB12" s="241">
        <f>BA12*0.18</f>
        <v>0</v>
      </c>
      <c r="BC12" s="241">
        <f t="shared" si="10"/>
        <v>4916.182000000001</v>
      </c>
      <c r="BD12" s="242"/>
      <c r="BE12" s="242">
        <f t="shared" si="11"/>
        <v>4916.182000000001</v>
      </c>
      <c r="BF12" s="242">
        <f t="shared" si="12"/>
        <v>-1295.5400000000004</v>
      </c>
      <c r="BG12" s="242">
        <f t="shared" si="13"/>
        <v>678.9100000000003</v>
      </c>
    </row>
    <row r="13" spans="1:59" ht="12.75">
      <c r="A13" s="264" t="s">
        <v>46</v>
      </c>
      <c r="B13" s="225">
        <v>631.9</v>
      </c>
      <c r="C13" s="226">
        <f>(B13*0.87)*0.5+((B13*5.17)*0.5+(B13*2.51)*0.5)</f>
        <v>2701.3724999999995</v>
      </c>
      <c r="D13" s="137">
        <v>216.342</v>
      </c>
      <c r="E13" s="268">
        <v>0</v>
      </c>
      <c r="F13" s="231">
        <v>0</v>
      </c>
      <c r="G13" s="244">
        <v>1647.87</v>
      </c>
      <c r="H13" s="228">
        <v>0</v>
      </c>
      <c r="I13" s="228">
        <v>0</v>
      </c>
      <c r="J13" s="228">
        <v>0</v>
      </c>
      <c r="K13" s="228">
        <v>0</v>
      </c>
      <c r="L13" s="228">
        <v>0</v>
      </c>
      <c r="M13" s="228">
        <v>800.12</v>
      </c>
      <c r="N13" s="228">
        <v>0</v>
      </c>
      <c r="O13" s="229">
        <v>277.4</v>
      </c>
      <c r="P13" s="265">
        <v>0</v>
      </c>
      <c r="Q13" s="280">
        <v>0</v>
      </c>
      <c r="R13" s="265">
        <v>0</v>
      </c>
      <c r="S13" s="281">
        <v>0</v>
      </c>
      <c r="T13" s="269">
        <v>0</v>
      </c>
      <c r="U13" s="276">
        <f t="shared" si="0"/>
        <v>2725.39</v>
      </c>
      <c r="V13" s="232">
        <f t="shared" si="0"/>
        <v>0</v>
      </c>
      <c r="W13" s="228">
        <v>0.29</v>
      </c>
      <c r="X13" s="231">
        <v>1470.51</v>
      </c>
      <c r="Y13" s="228">
        <v>0.39</v>
      </c>
      <c r="Z13" s="228">
        <v>2.64</v>
      </c>
      <c r="AA13" s="228">
        <v>689.45</v>
      </c>
      <c r="AB13" s="231">
        <v>238.98</v>
      </c>
      <c r="AC13" s="228">
        <v>0</v>
      </c>
      <c r="AD13" s="231">
        <v>0</v>
      </c>
      <c r="AE13" s="231">
        <v>0</v>
      </c>
      <c r="AF13" s="272">
        <f>SUM(W13:AD13)</f>
        <v>2402.26</v>
      </c>
      <c r="AG13" s="282">
        <f>AF13+V13+D13</f>
        <v>2618.6020000000003</v>
      </c>
      <c r="AH13" s="283">
        <f t="shared" si="1"/>
        <v>0</v>
      </c>
      <c r="AI13" s="283">
        <f t="shared" si="1"/>
        <v>0</v>
      </c>
      <c r="AJ13" s="284"/>
      <c r="AK13" s="235">
        <f t="shared" si="2"/>
        <v>423.373</v>
      </c>
      <c r="AL13" s="235">
        <f t="shared" si="3"/>
        <v>126.38</v>
      </c>
      <c r="AM13" s="235">
        <f t="shared" si="4"/>
        <v>631.9</v>
      </c>
      <c r="AN13" s="235">
        <f t="shared" si="5"/>
        <v>132.69899999999998</v>
      </c>
      <c r="AO13" s="235">
        <f t="shared" si="6"/>
        <v>1276.4379999999999</v>
      </c>
      <c r="AP13" s="235">
        <f t="shared" si="7"/>
        <v>650.857</v>
      </c>
      <c r="AQ13" s="235">
        <f t="shared" si="8"/>
        <v>473.92499999999995</v>
      </c>
      <c r="AR13" s="235">
        <f t="shared" si="9"/>
        <v>473.92499999999995</v>
      </c>
      <c r="AS13" s="235"/>
      <c r="AT13" s="285"/>
      <c r="AU13" s="286"/>
      <c r="AV13" s="286"/>
      <c r="AW13" s="286"/>
      <c r="AX13" s="286">
        <f>755</f>
        <v>755</v>
      </c>
      <c r="AY13" s="286"/>
      <c r="AZ13" s="240"/>
      <c r="BA13" s="285"/>
      <c r="BB13" s="285"/>
      <c r="BC13" s="277">
        <f t="shared" si="10"/>
        <v>4944.497</v>
      </c>
      <c r="BD13" s="287"/>
      <c r="BE13" s="242">
        <f t="shared" si="11"/>
        <v>4944.497</v>
      </c>
      <c r="BF13" s="242">
        <f t="shared" si="12"/>
        <v>-2325.895</v>
      </c>
      <c r="BG13" s="242">
        <f t="shared" si="13"/>
        <v>-323.12999999999965</v>
      </c>
    </row>
    <row r="14" spans="1:59" ht="12.75">
      <c r="A14" s="264" t="s">
        <v>47</v>
      </c>
      <c r="B14" s="288">
        <v>631.9</v>
      </c>
      <c r="C14" s="226">
        <f>(B14*0.87)+((B14*5.17)+(B14*2.51))</f>
        <v>5402.744999999999</v>
      </c>
      <c r="D14" s="137">
        <v>216.342</v>
      </c>
      <c r="E14" s="289">
        <v>0</v>
      </c>
      <c r="F14" s="231">
        <v>0</v>
      </c>
      <c r="G14" s="228">
        <v>3295.71</v>
      </c>
      <c r="H14" s="228">
        <v>0</v>
      </c>
      <c r="I14" s="228">
        <v>0</v>
      </c>
      <c r="J14" s="228">
        <v>0</v>
      </c>
      <c r="K14" s="228">
        <v>0</v>
      </c>
      <c r="L14" s="228">
        <v>0</v>
      </c>
      <c r="M14" s="228">
        <v>1600.2</v>
      </c>
      <c r="N14" s="228">
        <v>0</v>
      </c>
      <c r="O14" s="229">
        <v>554.8</v>
      </c>
      <c r="P14" s="265">
        <v>0</v>
      </c>
      <c r="Q14" s="277">
        <v>0</v>
      </c>
      <c r="R14" s="290">
        <v>0</v>
      </c>
      <c r="S14" s="277">
        <v>0</v>
      </c>
      <c r="T14" s="231">
        <v>0</v>
      </c>
      <c r="U14" s="268">
        <f t="shared" si="0"/>
        <v>5450.71</v>
      </c>
      <c r="V14" s="291">
        <f>F14+H14+J14+L14+N14++R14+T14</f>
        <v>0</v>
      </c>
      <c r="W14" s="228">
        <v>70.77</v>
      </c>
      <c r="X14" s="231">
        <v>1551.11</v>
      </c>
      <c r="Y14" s="228">
        <v>95.96</v>
      </c>
      <c r="Z14" s="228">
        <v>157.68</v>
      </c>
      <c r="AA14" s="228">
        <v>534.06</v>
      </c>
      <c r="AB14" s="228">
        <v>321.32</v>
      </c>
      <c r="AC14" s="228">
        <v>0</v>
      </c>
      <c r="AD14" s="231">
        <v>0</v>
      </c>
      <c r="AE14" s="272">
        <v>0</v>
      </c>
      <c r="AF14" s="292">
        <f>SUM(W14:AE14)</f>
        <v>2730.9</v>
      </c>
      <c r="AG14" s="282">
        <f aca="true" t="shared" si="14" ref="AG14:AG21">D14+V14+AF14</f>
        <v>2947.242</v>
      </c>
      <c r="AH14" s="283">
        <f t="shared" si="1"/>
        <v>0</v>
      </c>
      <c r="AI14" s="283">
        <f t="shared" si="1"/>
        <v>0</v>
      </c>
      <c r="AJ14" s="359"/>
      <c r="AK14" s="310">
        <f t="shared" si="2"/>
        <v>423.373</v>
      </c>
      <c r="AL14" s="310">
        <f t="shared" si="3"/>
        <v>126.38</v>
      </c>
      <c r="AM14" s="310">
        <f t="shared" si="4"/>
        <v>631.9</v>
      </c>
      <c r="AN14" s="310">
        <f t="shared" si="5"/>
        <v>132.69899999999998</v>
      </c>
      <c r="AO14" s="310">
        <f t="shared" si="6"/>
        <v>1276.4379999999999</v>
      </c>
      <c r="AP14" s="310">
        <f t="shared" si="7"/>
        <v>650.857</v>
      </c>
      <c r="AQ14" s="310">
        <f t="shared" si="8"/>
        <v>473.92499999999995</v>
      </c>
      <c r="AR14" s="235">
        <f t="shared" si="9"/>
        <v>473.92499999999995</v>
      </c>
      <c r="AS14" s="310"/>
      <c r="AT14" s="311"/>
      <c r="AU14" s="312">
        <v>910</v>
      </c>
      <c r="AV14" s="312"/>
      <c r="AW14" s="312"/>
      <c r="AX14" s="312">
        <f>13+108</f>
        <v>121</v>
      </c>
      <c r="AY14" s="312"/>
      <c r="AZ14" s="310"/>
      <c r="BA14" s="311"/>
      <c r="BB14" s="311"/>
      <c r="BC14" s="313">
        <f t="shared" si="10"/>
        <v>5220.497</v>
      </c>
      <c r="BD14" s="287"/>
      <c r="BE14" s="242">
        <f t="shared" si="11"/>
        <v>5220.497</v>
      </c>
      <c r="BF14" s="242">
        <f t="shared" si="12"/>
        <v>-2273.255</v>
      </c>
      <c r="BG14" s="242">
        <f t="shared" si="13"/>
        <v>-2719.81</v>
      </c>
    </row>
    <row r="15" spans="1:59" ht="12.75">
      <c r="A15" s="264" t="s">
        <v>48</v>
      </c>
      <c r="B15" s="225">
        <v>631.9</v>
      </c>
      <c r="C15" s="226">
        <f>(B15*0.87)+((B15*5.17)+(B15*2.51))</f>
        <v>5402.744999999999</v>
      </c>
      <c r="D15" s="137">
        <v>216.342</v>
      </c>
      <c r="E15" s="293">
        <v>0</v>
      </c>
      <c r="F15" s="293"/>
      <c r="G15" s="293">
        <v>3295.71</v>
      </c>
      <c r="H15" s="293"/>
      <c r="I15" s="294">
        <v>0</v>
      </c>
      <c r="J15" s="294"/>
      <c r="K15" s="294">
        <v>0</v>
      </c>
      <c r="L15" s="294"/>
      <c r="M15" s="294">
        <v>1600.2</v>
      </c>
      <c r="N15" s="294"/>
      <c r="O15" s="294">
        <v>554.8</v>
      </c>
      <c r="P15" s="294"/>
      <c r="Q15" s="294">
        <v>0</v>
      </c>
      <c r="R15" s="295"/>
      <c r="S15" s="295">
        <v>0</v>
      </c>
      <c r="T15" s="294"/>
      <c r="U15" s="296">
        <f t="shared" si="0"/>
        <v>5450.71</v>
      </c>
      <c r="V15" s="297">
        <f t="shared" si="0"/>
        <v>0</v>
      </c>
      <c r="W15" s="298">
        <v>0</v>
      </c>
      <c r="X15" s="293">
        <v>2027.47</v>
      </c>
      <c r="Y15" s="293">
        <v>0</v>
      </c>
      <c r="Z15" s="293">
        <v>0</v>
      </c>
      <c r="AA15" s="293">
        <v>2568.68</v>
      </c>
      <c r="AB15" s="293">
        <v>341.33</v>
      </c>
      <c r="AC15" s="293">
        <v>0</v>
      </c>
      <c r="AD15" s="293">
        <v>0</v>
      </c>
      <c r="AE15" s="299">
        <v>0</v>
      </c>
      <c r="AF15" s="300">
        <f aca="true" t="shared" si="15" ref="AF15:AF21">SUM(W15:AE15)</f>
        <v>4937.48</v>
      </c>
      <c r="AG15" s="282">
        <f t="shared" si="14"/>
        <v>5153.821999999999</v>
      </c>
      <c r="AH15" s="283">
        <f t="shared" si="1"/>
        <v>0</v>
      </c>
      <c r="AI15" s="283">
        <f t="shared" si="1"/>
        <v>0</v>
      </c>
      <c r="AJ15" s="284"/>
      <c r="AK15" s="235">
        <f t="shared" si="2"/>
        <v>423.373</v>
      </c>
      <c r="AL15" s="235">
        <f t="shared" si="3"/>
        <v>126.38</v>
      </c>
      <c r="AM15" s="235">
        <f t="shared" si="4"/>
        <v>631.9</v>
      </c>
      <c r="AN15" s="235">
        <f t="shared" si="5"/>
        <v>132.69899999999998</v>
      </c>
      <c r="AO15" s="235">
        <f t="shared" si="6"/>
        <v>1276.4379999999999</v>
      </c>
      <c r="AP15" s="235">
        <f t="shared" si="7"/>
        <v>650.857</v>
      </c>
      <c r="AQ15" s="235">
        <f t="shared" si="8"/>
        <v>473.92499999999995</v>
      </c>
      <c r="AR15" s="235">
        <f t="shared" si="9"/>
        <v>473.92499999999995</v>
      </c>
      <c r="AS15" s="235"/>
      <c r="AT15" s="285"/>
      <c r="AU15" s="286">
        <v>1724</v>
      </c>
      <c r="AV15" s="286"/>
      <c r="AW15" s="286"/>
      <c r="AX15" s="286">
        <v>282</v>
      </c>
      <c r="AY15" s="286"/>
      <c r="AZ15" s="235"/>
      <c r="BA15" s="285"/>
      <c r="BB15" s="285"/>
      <c r="BC15" s="301">
        <f t="shared" si="10"/>
        <v>6195.497</v>
      </c>
      <c r="BD15" s="287"/>
      <c r="BE15" s="242">
        <f t="shared" si="11"/>
        <v>6195.497</v>
      </c>
      <c r="BF15" s="242">
        <f t="shared" si="12"/>
        <v>-1041.675000000001</v>
      </c>
      <c r="BG15" s="242">
        <f t="shared" si="13"/>
        <v>-513.2300000000005</v>
      </c>
    </row>
    <row r="16" spans="1:59" ht="12.75">
      <c r="A16" s="264" t="s">
        <v>49</v>
      </c>
      <c r="B16" s="360">
        <v>631.9</v>
      </c>
      <c r="C16" s="316">
        <f aca="true" t="shared" si="16" ref="C16:C21">B16*14.05</f>
        <v>8878.195</v>
      </c>
      <c r="D16" s="137">
        <v>216.342</v>
      </c>
      <c r="E16" s="302"/>
      <c r="F16" s="302"/>
      <c r="G16" s="302">
        <v>3295.71</v>
      </c>
      <c r="H16" s="302"/>
      <c r="I16" s="302"/>
      <c r="J16" s="302"/>
      <c r="K16" s="302"/>
      <c r="L16" s="302"/>
      <c r="M16" s="302">
        <v>1600.2</v>
      </c>
      <c r="N16" s="302"/>
      <c r="O16" s="302">
        <v>554.8</v>
      </c>
      <c r="P16" s="302"/>
      <c r="Q16" s="302"/>
      <c r="R16" s="302"/>
      <c r="S16" s="303"/>
      <c r="T16" s="307"/>
      <c r="U16" s="304">
        <f t="shared" si="0"/>
        <v>5450.71</v>
      </c>
      <c r="V16" s="361">
        <f t="shared" si="0"/>
        <v>0</v>
      </c>
      <c r="W16" s="305">
        <v>0</v>
      </c>
      <c r="X16" s="302">
        <v>1968.65</v>
      </c>
      <c r="Y16" s="302">
        <v>0</v>
      </c>
      <c r="Z16" s="302">
        <v>0</v>
      </c>
      <c r="AA16" s="302">
        <v>955.88</v>
      </c>
      <c r="AB16" s="302">
        <v>331.43</v>
      </c>
      <c r="AC16" s="308"/>
      <c r="AD16" s="302"/>
      <c r="AE16" s="303"/>
      <c r="AF16" s="309">
        <f t="shared" si="15"/>
        <v>3255.96</v>
      </c>
      <c r="AG16" s="306">
        <f t="shared" si="14"/>
        <v>3472.302</v>
      </c>
      <c r="AH16" s="362">
        <f t="shared" si="1"/>
        <v>0</v>
      </c>
      <c r="AI16" s="362">
        <f t="shared" si="1"/>
        <v>0</v>
      </c>
      <c r="AJ16" s="359"/>
      <c r="AK16" s="235">
        <f t="shared" si="2"/>
        <v>423.373</v>
      </c>
      <c r="AL16" s="235">
        <f t="shared" si="3"/>
        <v>126.38</v>
      </c>
      <c r="AM16" s="235">
        <f t="shared" si="4"/>
        <v>631.9</v>
      </c>
      <c r="AN16" s="235">
        <f t="shared" si="5"/>
        <v>132.69899999999998</v>
      </c>
      <c r="AO16" s="235">
        <f t="shared" si="6"/>
        <v>1276.4379999999999</v>
      </c>
      <c r="AP16" s="235">
        <f t="shared" si="7"/>
        <v>650.857</v>
      </c>
      <c r="AQ16" s="235">
        <f t="shared" si="8"/>
        <v>473.92499999999995</v>
      </c>
      <c r="AR16" s="235">
        <f t="shared" si="9"/>
        <v>473.92499999999995</v>
      </c>
      <c r="AS16" s="310"/>
      <c r="AT16" s="285"/>
      <c r="AU16" s="286"/>
      <c r="AV16" s="286"/>
      <c r="AW16" s="286"/>
      <c r="AX16" s="286">
        <f>111.43+9.43</f>
        <v>120.86000000000001</v>
      </c>
      <c r="AY16" s="286"/>
      <c r="AZ16" s="310"/>
      <c r="BA16" s="311">
        <v>7060.88</v>
      </c>
      <c r="BB16" s="311"/>
      <c r="BC16" s="313">
        <f t="shared" si="10"/>
        <v>11371.237000000001</v>
      </c>
      <c r="BD16" s="363"/>
      <c r="BE16" s="242">
        <f t="shared" si="11"/>
        <v>11371.237000000001</v>
      </c>
      <c r="BF16" s="242">
        <f t="shared" si="12"/>
        <v>-7898.935000000001</v>
      </c>
      <c r="BG16" s="242">
        <f t="shared" si="13"/>
        <v>-2194.75</v>
      </c>
    </row>
    <row r="17" spans="1:59" ht="12.75">
      <c r="A17" s="264" t="s">
        <v>50</v>
      </c>
      <c r="B17" s="360">
        <v>631.9</v>
      </c>
      <c r="C17" s="316">
        <f t="shared" si="16"/>
        <v>8878.195</v>
      </c>
      <c r="D17" s="137">
        <v>216.342</v>
      </c>
      <c r="E17" s="302"/>
      <c r="F17" s="302"/>
      <c r="G17" s="302">
        <v>3307.85</v>
      </c>
      <c r="H17" s="302"/>
      <c r="I17" s="302"/>
      <c r="J17" s="302"/>
      <c r="K17" s="302"/>
      <c r="L17" s="302"/>
      <c r="M17" s="302">
        <v>1606.17</v>
      </c>
      <c r="N17" s="302"/>
      <c r="O17" s="302">
        <v>556.93</v>
      </c>
      <c r="P17" s="302"/>
      <c r="Q17" s="302"/>
      <c r="R17" s="302"/>
      <c r="S17" s="303"/>
      <c r="T17" s="364"/>
      <c r="U17" s="365">
        <f t="shared" si="0"/>
        <v>5470.950000000001</v>
      </c>
      <c r="V17" s="366">
        <f t="shared" si="0"/>
        <v>0</v>
      </c>
      <c r="W17" s="302">
        <v>2.71</v>
      </c>
      <c r="X17" s="302">
        <v>3059.67</v>
      </c>
      <c r="Y17" s="302">
        <v>3.67</v>
      </c>
      <c r="Z17" s="302">
        <v>6.11</v>
      </c>
      <c r="AA17" s="302">
        <v>1344.06</v>
      </c>
      <c r="AB17" s="302">
        <v>515.2</v>
      </c>
      <c r="AC17" s="302"/>
      <c r="AD17" s="302"/>
      <c r="AE17" s="303"/>
      <c r="AF17" s="309">
        <f t="shared" si="15"/>
        <v>4931.42</v>
      </c>
      <c r="AG17" s="306">
        <f t="shared" si="14"/>
        <v>5147.762</v>
      </c>
      <c r="AH17" s="362">
        <f t="shared" si="1"/>
        <v>0</v>
      </c>
      <c r="AI17" s="362">
        <f t="shared" si="1"/>
        <v>0</v>
      </c>
      <c r="AJ17" s="359"/>
      <c r="AK17" s="235">
        <f t="shared" si="2"/>
        <v>423.373</v>
      </c>
      <c r="AL17" s="235">
        <f t="shared" si="3"/>
        <v>126.38</v>
      </c>
      <c r="AM17" s="235">
        <f t="shared" si="4"/>
        <v>631.9</v>
      </c>
      <c r="AN17" s="235">
        <f t="shared" si="5"/>
        <v>132.69899999999998</v>
      </c>
      <c r="AO17" s="235">
        <f t="shared" si="6"/>
        <v>1276.4379999999999</v>
      </c>
      <c r="AP17" s="235">
        <f t="shared" si="7"/>
        <v>650.857</v>
      </c>
      <c r="AQ17" s="235">
        <f t="shared" si="8"/>
        <v>473.92499999999995</v>
      </c>
      <c r="AR17" s="235">
        <f t="shared" si="9"/>
        <v>473.92499999999995</v>
      </c>
      <c r="AS17" s="310"/>
      <c r="AT17" s="285"/>
      <c r="AU17" s="286"/>
      <c r="AV17" s="286"/>
      <c r="AW17" s="286"/>
      <c r="AX17" s="286"/>
      <c r="AY17" s="286"/>
      <c r="AZ17" s="310"/>
      <c r="BA17" s="311"/>
      <c r="BB17" s="311"/>
      <c r="BC17" s="313">
        <f t="shared" si="10"/>
        <v>4189.497</v>
      </c>
      <c r="BD17" s="363"/>
      <c r="BE17" s="242">
        <f t="shared" si="11"/>
        <v>4189.497</v>
      </c>
      <c r="BF17" s="242">
        <f t="shared" si="12"/>
        <v>958.2649999999994</v>
      </c>
      <c r="BG17" s="242">
        <f t="shared" si="13"/>
        <v>-539.5300000000007</v>
      </c>
    </row>
    <row r="18" spans="1:59" ht="12.75">
      <c r="A18" s="264" t="s">
        <v>51</v>
      </c>
      <c r="B18" s="225">
        <v>631.9</v>
      </c>
      <c r="C18" s="316">
        <f t="shared" si="16"/>
        <v>8878.195</v>
      </c>
      <c r="D18" s="137">
        <v>216.342</v>
      </c>
      <c r="E18" s="302"/>
      <c r="F18" s="302"/>
      <c r="G18" s="302">
        <v>6224.24</v>
      </c>
      <c r="H18" s="302"/>
      <c r="I18" s="302"/>
      <c r="J18" s="302"/>
      <c r="K18" s="302"/>
      <c r="L18" s="302"/>
      <c r="M18" s="302">
        <v>1895.7</v>
      </c>
      <c r="N18" s="302"/>
      <c r="O18" s="302">
        <v>758.28</v>
      </c>
      <c r="P18" s="302"/>
      <c r="Q18" s="302"/>
      <c r="R18" s="302"/>
      <c r="S18" s="303"/>
      <c r="T18" s="314"/>
      <c r="U18" s="314">
        <f t="shared" si="0"/>
        <v>8878.22</v>
      </c>
      <c r="V18" s="315">
        <f t="shared" si="0"/>
        <v>0</v>
      </c>
      <c r="W18" s="302">
        <v>0</v>
      </c>
      <c r="X18" s="302">
        <v>2837.27</v>
      </c>
      <c r="Y18" s="302">
        <v>0</v>
      </c>
      <c r="Z18" s="302">
        <v>0</v>
      </c>
      <c r="AA18" s="302">
        <v>1075.21</v>
      </c>
      <c r="AB18" s="302">
        <v>484.71</v>
      </c>
      <c r="AC18" s="302"/>
      <c r="AD18" s="302"/>
      <c r="AE18" s="303"/>
      <c r="AF18" s="309">
        <f t="shared" si="15"/>
        <v>4397.19</v>
      </c>
      <c r="AG18" s="306">
        <f t="shared" si="14"/>
        <v>4613.531999999999</v>
      </c>
      <c r="AH18" s="362">
        <f t="shared" si="1"/>
        <v>0</v>
      </c>
      <c r="AI18" s="362">
        <f t="shared" si="1"/>
        <v>0</v>
      </c>
      <c r="AJ18" s="359"/>
      <c r="AK18" s="235">
        <f t="shared" si="2"/>
        <v>423.373</v>
      </c>
      <c r="AL18" s="235">
        <f t="shared" si="3"/>
        <v>126.38</v>
      </c>
      <c r="AM18" s="235">
        <f t="shared" si="4"/>
        <v>631.9</v>
      </c>
      <c r="AN18" s="235">
        <f t="shared" si="5"/>
        <v>132.69899999999998</v>
      </c>
      <c r="AO18" s="235">
        <f t="shared" si="6"/>
        <v>1276.4379999999999</v>
      </c>
      <c r="AP18" s="235">
        <f t="shared" si="7"/>
        <v>650.857</v>
      </c>
      <c r="AQ18" s="235">
        <f t="shared" si="8"/>
        <v>473.92499999999995</v>
      </c>
      <c r="AR18" s="235">
        <f t="shared" si="9"/>
        <v>473.92499999999995</v>
      </c>
      <c r="AS18" s="310"/>
      <c r="AT18" s="285"/>
      <c r="AU18" s="286"/>
      <c r="AV18" s="286"/>
      <c r="AW18" s="286"/>
      <c r="AX18" s="286"/>
      <c r="AY18" s="286"/>
      <c r="AZ18" s="310"/>
      <c r="BA18" s="311"/>
      <c r="BB18" s="311"/>
      <c r="BC18" s="313">
        <f t="shared" si="10"/>
        <v>4189.497</v>
      </c>
      <c r="BD18" s="363"/>
      <c r="BE18" s="242">
        <f t="shared" si="11"/>
        <v>4189.497</v>
      </c>
      <c r="BF18" s="242">
        <f t="shared" si="12"/>
        <v>424.03499999999894</v>
      </c>
      <c r="BG18" s="242">
        <f t="shared" si="13"/>
        <v>-4481.03</v>
      </c>
    </row>
    <row r="19" spans="1:59" ht="12.75">
      <c r="A19" s="264" t="s">
        <v>39</v>
      </c>
      <c r="B19" s="225">
        <v>631.9</v>
      </c>
      <c r="C19" s="316">
        <f t="shared" si="16"/>
        <v>8878.195</v>
      </c>
      <c r="D19" s="137">
        <v>216.342</v>
      </c>
      <c r="E19" s="293"/>
      <c r="F19" s="293"/>
      <c r="G19" s="293">
        <v>6224.24</v>
      </c>
      <c r="H19" s="293"/>
      <c r="I19" s="293"/>
      <c r="J19" s="293"/>
      <c r="K19" s="293"/>
      <c r="L19" s="293"/>
      <c r="M19" s="293">
        <v>1895.7</v>
      </c>
      <c r="N19" s="293"/>
      <c r="O19" s="293">
        <v>758.29</v>
      </c>
      <c r="P19" s="293"/>
      <c r="Q19" s="293"/>
      <c r="R19" s="293"/>
      <c r="S19" s="299"/>
      <c r="T19" s="317"/>
      <c r="U19" s="318">
        <f t="shared" si="0"/>
        <v>8878.23</v>
      </c>
      <c r="V19" s="319">
        <f t="shared" si="0"/>
        <v>0</v>
      </c>
      <c r="W19" s="293">
        <v>0</v>
      </c>
      <c r="X19" s="293">
        <v>4916.3</v>
      </c>
      <c r="Y19" s="293">
        <v>0</v>
      </c>
      <c r="Z19" s="293">
        <v>0</v>
      </c>
      <c r="AA19" s="293">
        <v>1497.3</v>
      </c>
      <c r="AB19" s="293">
        <v>598.95</v>
      </c>
      <c r="AC19" s="293"/>
      <c r="AD19" s="293"/>
      <c r="AE19" s="299"/>
      <c r="AF19" s="309">
        <f t="shared" si="15"/>
        <v>7012.55</v>
      </c>
      <c r="AG19" s="306">
        <f t="shared" si="14"/>
        <v>7228.892</v>
      </c>
      <c r="AH19" s="362">
        <f t="shared" si="1"/>
        <v>0</v>
      </c>
      <c r="AI19" s="362">
        <f t="shared" si="1"/>
        <v>0</v>
      </c>
      <c r="AJ19" s="359"/>
      <c r="AK19" s="235">
        <f t="shared" si="2"/>
        <v>423.373</v>
      </c>
      <c r="AL19" s="235">
        <f t="shared" si="3"/>
        <v>126.38</v>
      </c>
      <c r="AM19" s="235">
        <f t="shared" si="4"/>
        <v>631.9</v>
      </c>
      <c r="AN19" s="235">
        <f t="shared" si="5"/>
        <v>132.69899999999998</v>
      </c>
      <c r="AO19" s="235">
        <f t="shared" si="6"/>
        <v>1276.4379999999999</v>
      </c>
      <c r="AP19" s="235">
        <f t="shared" si="7"/>
        <v>650.857</v>
      </c>
      <c r="AQ19" s="235">
        <f t="shared" si="8"/>
        <v>473.92499999999995</v>
      </c>
      <c r="AR19" s="235">
        <f t="shared" si="9"/>
        <v>473.92499999999995</v>
      </c>
      <c r="AS19" s="320">
        <f>B19*1.15</f>
        <v>726.685</v>
      </c>
      <c r="AT19" s="285"/>
      <c r="AU19" s="286"/>
      <c r="AV19" s="286"/>
      <c r="AW19" s="286"/>
      <c r="AX19" s="286"/>
      <c r="AY19" s="286"/>
      <c r="AZ19" s="310"/>
      <c r="BA19" s="311"/>
      <c r="BB19" s="311"/>
      <c r="BC19" s="313">
        <f t="shared" si="10"/>
        <v>4916.182000000001</v>
      </c>
      <c r="BD19" s="363"/>
      <c r="BE19" s="242">
        <f t="shared" si="11"/>
        <v>4916.182000000001</v>
      </c>
      <c r="BF19" s="242">
        <f t="shared" si="12"/>
        <v>2312.709999999999</v>
      </c>
      <c r="BG19" s="242">
        <f t="shared" si="13"/>
        <v>-1865.6799999999994</v>
      </c>
    </row>
    <row r="20" spans="1:59" ht="12.75">
      <c r="A20" s="264" t="s">
        <v>40</v>
      </c>
      <c r="B20" s="225">
        <v>631.9</v>
      </c>
      <c r="C20" s="226">
        <f t="shared" si="16"/>
        <v>8878.195</v>
      </c>
      <c r="D20" s="137">
        <v>216.342</v>
      </c>
      <c r="E20" s="293"/>
      <c r="F20" s="293"/>
      <c r="G20" s="293">
        <v>6224.25</v>
      </c>
      <c r="H20" s="293"/>
      <c r="I20" s="293"/>
      <c r="J20" s="293"/>
      <c r="K20" s="293"/>
      <c r="L20" s="293"/>
      <c r="M20" s="293">
        <v>1895.7</v>
      </c>
      <c r="N20" s="293"/>
      <c r="O20" s="293">
        <v>758.28</v>
      </c>
      <c r="P20" s="293"/>
      <c r="Q20" s="293"/>
      <c r="R20" s="293"/>
      <c r="S20" s="299"/>
      <c r="T20" s="317"/>
      <c r="U20" s="318">
        <f t="shared" si="0"/>
        <v>8878.23</v>
      </c>
      <c r="V20" s="319">
        <f t="shared" si="0"/>
        <v>0</v>
      </c>
      <c r="W20" s="293">
        <v>0</v>
      </c>
      <c r="X20" s="293">
        <v>5795.89</v>
      </c>
      <c r="Y20" s="293">
        <v>0</v>
      </c>
      <c r="Z20" s="293">
        <v>0</v>
      </c>
      <c r="AA20" s="293">
        <v>1765.23</v>
      </c>
      <c r="AB20" s="293">
        <v>706.08</v>
      </c>
      <c r="AC20" s="293"/>
      <c r="AD20" s="293"/>
      <c r="AE20" s="299"/>
      <c r="AF20" s="309">
        <f t="shared" si="15"/>
        <v>8267.2</v>
      </c>
      <c r="AG20" s="306">
        <f t="shared" si="14"/>
        <v>8483.542000000001</v>
      </c>
      <c r="AH20" s="362">
        <f t="shared" si="1"/>
        <v>0</v>
      </c>
      <c r="AI20" s="362">
        <f t="shared" si="1"/>
        <v>0</v>
      </c>
      <c r="AJ20" s="359"/>
      <c r="AK20" s="235">
        <f t="shared" si="2"/>
        <v>423.373</v>
      </c>
      <c r="AL20" s="235">
        <f t="shared" si="3"/>
        <v>126.38</v>
      </c>
      <c r="AM20" s="235">
        <f t="shared" si="4"/>
        <v>631.9</v>
      </c>
      <c r="AN20" s="235">
        <f t="shared" si="5"/>
        <v>132.69899999999998</v>
      </c>
      <c r="AO20" s="235">
        <f t="shared" si="6"/>
        <v>1276.4379999999999</v>
      </c>
      <c r="AP20" s="235">
        <f t="shared" si="7"/>
        <v>650.857</v>
      </c>
      <c r="AQ20" s="235">
        <f t="shared" si="8"/>
        <v>473.92499999999995</v>
      </c>
      <c r="AR20" s="235">
        <f t="shared" si="9"/>
        <v>473.92499999999995</v>
      </c>
      <c r="AS20" s="320">
        <f>B20*1.15</f>
        <v>726.685</v>
      </c>
      <c r="AT20" s="285"/>
      <c r="AU20" s="286"/>
      <c r="AV20" s="286"/>
      <c r="AW20" s="286"/>
      <c r="AX20" s="286"/>
      <c r="AY20" s="286"/>
      <c r="AZ20" s="310"/>
      <c r="BA20" s="311"/>
      <c r="BB20" s="311"/>
      <c r="BC20" s="313">
        <f t="shared" si="10"/>
        <v>4916.182000000001</v>
      </c>
      <c r="BD20" s="363"/>
      <c r="BE20" s="242">
        <f t="shared" si="11"/>
        <v>4916.182000000001</v>
      </c>
      <c r="BF20" s="242">
        <f t="shared" si="12"/>
        <v>3567.3600000000006</v>
      </c>
      <c r="BG20" s="242">
        <f t="shared" si="13"/>
        <v>-611.0299999999988</v>
      </c>
    </row>
    <row r="21" spans="1:59" ht="13.5" thickBot="1">
      <c r="A21" s="264" t="s">
        <v>41</v>
      </c>
      <c r="B21" s="225">
        <v>631.9</v>
      </c>
      <c r="C21" s="226">
        <f t="shared" si="16"/>
        <v>8878.195</v>
      </c>
      <c r="D21" s="137">
        <v>216.342</v>
      </c>
      <c r="E21" s="322"/>
      <c r="F21" s="322"/>
      <c r="G21" s="322">
        <v>5239.25</v>
      </c>
      <c r="H21" s="322"/>
      <c r="I21" s="322"/>
      <c r="J21" s="322"/>
      <c r="K21" s="322"/>
      <c r="L21" s="322"/>
      <c r="M21" s="322">
        <v>1795.52</v>
      </c>
      <c r="N21" s="322"/>
      <c r="O21" s="322">
        <v>689.63</v>
      </c>
      <c r="P21" s="322"/>
      <c r="Q21" s="322"/>
      <c r="R21" s="322"/>
      <c r="S21" s="323"/>
      <c r="T21" s="324"/>
      <c r="U21" s="318">
        <f t="shared" si="0"/>
        <v>7724.400000000001</v>
      </c>
      <c r="V21" s="319">
        <f t="shared" si="0"/>
        <v>0</v>
      </c>
      <c r="W21" s="293">
        <v>0</v>
      </c>
      <c r="X21" s="293">
        <v>5702.79</v>
      </c>
      <c r="Y21" s="293">
        <v>0</v>
      </c>
      <c r="Z21" s="293">
        <v>0</v>
      </c>
      <c r="AA21" s="293">
        <v>1736.89</v>
      </c>
      <c r="AB21" s="293">
        <v>694.76</v>
      </c>
      <c r="AC21" s="293"/>
      <c r="AD21" s="293"/>
      <c r="AE21" s="299"/>
      <c r="AF21" s="309">
        <f t="shared" si="15"/>
        <v>8134.4400000000005</v>
      </c>
      <c r="AG21" s="306">
        <f t="shared" si="14"/>
        <v>8350.782000000001</v>
      </c>
      <c r="AH21" s="362">
        <f t="shared" si="1"/>
        <v>0</v>
      </c>
      <c r="AI21" s="362">
        <f t="shared" si="1"/>
        <v>0</v>
      </c>
      <c r="AJ21" s="359"/>
      <c r="AK21" s="235">
        <f t="shared" si="2"/>
        <v>423.373</v>
      </c>
      <c r="AL21" s="235">
        <f t="shared" si="3"/>
        <v>126.38</v>
      </c>
      <c r="AM21" s="235">
        <f t="shared" si="4"/>
        <v>631.9</v>
      </c>
      <c r="AN21" s="235">
        <f t="shared" si="5"/>
        <v>132.69899999999998</v>
      </c>
      <c r="AO21" s="235">
        <f t="shared" si="6"/>
        <v>1276.4379999999999</v>
      </c>
      <c r="AP21" s="235">
        <f t="shared" si="7"/>
        <v>650.857</v>
      </c>
      <c r="AQ21" s="235">
        <f t="shared" si="8"/>
        <v>473.92499999999995</v>
      </c>
      <c r="AR21" s="235">
        <f t="shared" si="9"/>
        <v>473.92499999999995</v>
      </c>
      <c r="AS21" s="320">
        <f>B21*1.15</f>
        <v>726.685</v>
      </c>
      <c r="AT21" s="285"/>
      <c r="AU21" s="286">
        <v>483</v>
      </c>
      <c r="AV21" s="286"/>
      <c r="AW21" s="286"/>
      <c r="AX21" s="286">
        <f>77</f>
        <v>77</v>
      </c>
      <c r="AY21" s="286"/>
      <c r="AZ21" s="310"/>
      <c r="BA21" s="311"/>
      <c r="BB21" s="311"/>
      <c r="BC21" s="313">
        <f t="shared" si="10"/>
        <v>5476.182000000001</v>
      </c>
      <c r="BD21" s="363"/>
      <c r="BE21" s="242">
        <f t="shared" si="11"/>
        <v>5476.182000000001</v>
      </c>
      <c r="BF21" s="242">
        <f t="shared" si="12"/>
        <v>2874.6000000000004</v>
      </c>
      <c r="BG21" s="242">
        <f t="shared" si="13"/>
        <v>410.03999999999996</v>
      </c>
    </row>
    <row r="22" spans="1:59" s="24" customFormat="1" ht="13.5" thickBot="1">
      <c r="A22" s="325" t="s">
        <v>3</v>
      </c>
      <c r="B22" s="326"/>
      <c r="C22" s="327">
        <f aca="true" t="shared" si="17" ref="C22:BF22">SUM(C10:C21)</f>
        <v>74880.15</v>
      </c>
      <c r="D22" s="327">
        <f t="shared" si="17"/>
        <v>2596.1040000000007</v>
      </c>
      <c r="E22" s="327">
        <f t="shared" si="17"/>
        <v>0</v>
      </c>
      <c r="F22" s="327">
        <f t="shared" si="17"/>
        <v>0</v>
      </c>
      <c r="G22" s="327">
        <f t="shared" si="17"/>
        <v>43698.439999999995</v>
      </c>
      <c r="H22" s="327">
        <f t="shared" si="17"/>
        <v>0</v>
      </c>
      <c r="I22" s="327">
        <f t="shared" si="17"/>
        <v>0</v>
      </c>
      <c r="J22" s="327">
        <f t="shared" si="17"/>
        <v>0</v>
      </c>
      <c r="K22" s="327">
        <f t="shared" si="17"/>
        <v>0</v>
      </c>
      <c r="L22" s="327">
        <f t="shared" si="17"/>
        <v>0</v>
      </c>
      <c r="M22" s="327">
        <f t="shared" si="17"/>
        <v>17089.870000000003</v>
      </c>
      <c r="N22" s="327">
        <f t="shared" si="17"/>
        <v>0</v>
      </c>
      <c r="O22" s="327">
        <f t="shared" si="17"/>
        <v>6295.41</v>
      </c>
      <c r="P22" s="327">
        <f t="shared" si="17"/>
        <v>0</v>
      </c>
      <c r="Q22" s="327">
        <f t="shared" si="17"/>
        <v>0</v>
      </c>
      <c r="R22" s="327">
        <f t="shared" si="17"/>
        <v>0</v>
      </c>
      <c r="S22" s="327">
        <f t="shared" si="17"/>
        <v>0</v>
      </c>
      <c r="T22" s="327">
        <f t="shared" si="17"/>
        <v>0</v>
      </c>
      <c r="U22" s="327">
        <f t="shared" si="17"/>
        <v>67083.71999999999</v>
      </c>
      <c r="V22" s="327">
        <f t="shared" si="17"/>
        <v>0</v>
      </c>
      <c r="W22" s="327">
        <f t="shared" si="17"/>
        <v>349.67999999999995</v>
      </c>
      <c r="X22" s="327">
        <f t="shared" si="17"/>
        <v>31769.29</v>
      </c>
      <c r="Y22" s="327">
        <f t="shared" si="17"/>
        <v>473.94</v>
      </c>
      <c r="Z22" s="327">
        <f t="shared" si="17"/>
        <v>788.7099999999999</v>
      </c>
      <c r="AA22" s="327">
        <f t="shared" si="17"/>
        <v>16210.549999999996</v>
      </c>
      <c r="AB22" s="327">
        <f t="shared" si="17"/>
        <v>4853.05</v>
      </c>
      <c r="AC22" s="327">
        <f t="shared" si="17"/>
        <v>0</v>
      </c>
      <c r="AD22" s="327">
        <f t="shared" si="17"/>
        <v>0</v>
      </c>
      <c r="AE22" s="327">
        <f t="shared" si="17"/>
        <v>0</v>
      </c>
      <c r="AF22" s="327">
        <f t="shared" si="17"/>
        <v>54445.22</v>
      </c>
      <c r="AG22" s="327">
        <f t="shared" si="17"/>
        <v>57041.32399999999</v>
      </c>
      <c r="AH22" s="327">
        <f t="shared" si="17"/>
        <v>0</v>
      </c>
      <c r="AI22" s="327">
        <f t="shared" si="17"/>
        <v>0</v>
      </c>
      <c r="AJ22" s="327">
        <f t="shared" si="17"/>
        <v>0</v>
      </c>
      <c r="AK22" s="327">
        <f t="shared" si="17"/>
        <v>5080.475999999999</v>
      </c>
      <c r="AL22" s="327">
        <f t="shared" si="17"/>
        <v>1516.5600000000004</v>
      </c>
      <c r="AM22" s="327">
        <f t="shared" si="17"/>
        <v>7582.799999999998</v>
      </c>
      <c r="AN22" s="327">
        <f t="shared" si="17"/>
        <v>1592.3880000000001</v>
      </c>
      <c r="AO22" s="327">
        <f t="shared" si="17"/>
        <v>15317.256</v>
      </c>
      <c r="AP22" s="327">
        <f t="shared" si="17"/>
        <v>7810.284</v>
      </c>
      <c r="AQ22" s="327">
        <f t="shared" si="17"/>
        <v>5687.100000000001</v>
      </c>
      <c r="AR22" s="327">
        <f t="shared" si="17"/>
        <v>5687.100000000001</v>
      </c>
      <c r="AS22" s="327">
        <f t="shared" si="17"/>
        <v>4360.11</v>
      </c>
      <c r="AT22" s="327">
        <f t="shared" si="17"/>
        <v>0</v>
      </c>
      <c r="AU22" s="327">
        <f t="shared" si="17"/>
        <v>3117</v>
      </c>
      <c r="AV22" s="327">
        <f t="shared" si="17"/>
        <v>0</v>
      </c>
      <c r="AW22" s="327">
        <f t="shared" si="17"/>
        <v>0</v>
      </c>
      <c r="AX22" s="327">
        <f t="shared" si="17"/>
        <v>1378.42</v>
      </c>
      <c r="AY22" s="327">
        <f t="shared" si="17"/>
        <v>0</v>
      </c>
      <c r="AZ22" s="327">
        <f t="shared" si="17"/>
        <v>0</v>
      </c>
      <c r="BA22" s="327">
        <f t="shared" si="17"/>
        <v>7060.88</v>
      </c>
      <c r="BB22" s="327">
        <f t="shared" si="17"/>
        <v>0</v>
      </c>
      <c r="BC22" s="327">
        <f t="shared" si="17"/>
        <v>66190.37400000001</v>
      </c>
      <c r="BD22" s="327">
        <f t="shared" si="17"/>
        <v>0</v>
      </c>
      <c r="BE22" s="327">
        <f t="shared" si="17"/>
        <v>66190.37400000001</v>
      </c>
      <c r="BF22" s="327">
        <f t="shared" si="17"/>
        <v>-9149.050000000005</v>
      </c>
      <c r="BG22" s="327">
        <f>SUM(BG10:BG21)</f>
        <v>-12638.499999999996</v>
      </c>
    </row>
    <row r="23" spans="1:59" s="24" customFormat="1" ht="13.5" thickBot="1">
      <c r="A23" s="328"/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29"/>
      <c r="AT23" s="329"/>
      <c r="AU23" s="329"/>
      <c r="AV23" s="329"/>
      <c r="AW23" s="329"/>
      <c r="AX23" s="329"/>
      <c r="AY23" s="329"/>
      <c r="AZ23" s="329"/>
      <c r="BA23" s="329"/>
      <c r="BB23" s="329"/>
      <c r="BC23" s="329"/>
      <c r="BD23" s="329"/>
      <c r="BE23" s="330"/>
      <c r="BF23" s="329"/>
      <c r="BG23" s="331"/>
    </row>
    <row r="24" spans="1:59" s="24" customFormat="1" ht="13.5" thickBot="1">
      <c r="A24" s="27" t="s">
        <v>52</v>
      </c>
      <c r="B24" s="329"/>
      <c r="C24" s="332">
        <f aca="true" t="shared" si="18" ref="C24:BG24">C22+C8</f>
        <v>222427.525</v>
      </c>
      <c r="D24" s="332">
        <f t="shared" si="18"/>
        <v>78862.59357255003</v>
      </c>
      <c r="E24" s="332">
        <f t="shared" si="18"/>
        <v>6627.789999999999</v>
      </c>
      <c r="F24" s="332">
        <f t="shared" si="18"/>
        <v>922.51</v>
      </c>
      <c r="G24" s="332">
        <f t="shared" si="18"/>
        <v>43698.439999999995</v>
      </c>
      <c r="H24" s="332">
        <f t="shared" si="18"/>
        <v>0</v>
      </c>
      <c r="I24" s="332">
        <f t="shared" si="18"/>
        <v>8972.5</v>
      </c>
      <c r="J24" s="332">
        <f t="shared" si="18"/>
        <v>1248.9499999999998</v>
      </c>
      <c r="K24" s="332">
        <f t="shared" si="18"/>
        <v>14937.3</v>
      </c>
      <c r="L24" s="332">
        <f t="shared" si="18"/>
        <v>2079.13</v>
      </c>
      <c r="M24" s="332">
        <f t="shared" si="18"/>
        <v>38656.55</v>
      </c>
      <c r="N24" s="332">
        <f t="shared" si="18"/>
        <v>3001.1000000000004</v>
      </c>
      <c r="O24" s="332">
        <f t="shared" si="18"/>
        <v>11597.55</v>
      </c>
      <c r="P24" s="332">
        <f t="shared" si="18"/>
        <v>737.88</v>
      </c>
      <c r="Q24" s="332">
        <f t="shared" si="18"/>
        <v>0</v>
      </c>
      <c r="R24" s="332">
        <f t="shared" si="18"/>
        <v>0</v>
      </c>
      <c r="S24" s="332">
        <f t="shared" si="18"/>
        <v>0</v>
      </c>
      <c r="T24" s="332">
        <f t="shared" si="18"/>
        <v>0</v>
      </c>
      <c r="U24" s="332">
        <f t="shared" si="18"/>
        <v>124490.12999999999</v>
      </c>
      <c r="V24" s="332">
        <f t="shared" si="18"/>
        <v>7989.57</v>
      </c>
      <c r="W24" s="332">
        <f t="shared" si="18"/>
        <v>6055.27</v>
      </c>
      <c r="X24" s="332">
        <f t="shared" si="18"/>
        <v>31769.29</v>
      </c>
      <c r="Y24" s="332">
        <f t="shared" si="18"/>
        <v>8196.34</v>
      </c>
      <c r="Z24" s="332">
        <f t="shared" si="18"/>
        <v>13645.92</v>
      </c>
      <c r="AA24" s="332">
        <f t="shared" si="18"/>
        <v>34774.829999999994</v>
      </c>
      <c r="AB24" s="332">
        <f t="shared" si="18"/>
        <v>9417.380000000001</v>
      </c>
      <c r="AC24" s="332">
        <f t="shared" si="18"/>
        <v>0</v>
      </c>
      <c r="AD24" s="332">
        <f t="shared" si="18"/>
        <v>0</v>
      </c>
      <c r="AE24" s="332">
        <f t="shared" si="18"/>
        <v>0</v>
      </c>
      <c r="AF24" s="332">
        <f t="shared" si="18"/>
        <v>103859.03</v>
      </c>
      <c r="AG24" s="332">
        <f t="shared" si="18"/>
        <v>190711.19357255002</v>
      </c>
      <c r="AH24" s="332">
        <f t="shared" si="18"/>
        <v>0</v>
      </c>
      <c r="AI24" s="332">
        <f t="shared" si="18"/>
        <v>0</v>
      </c>
      <c r="AJ24" s="332">
        <f t="shared" si="18"/>
        <v>0</v>
      </c>
      <c r="AK24" s="332">
        <f t="shared" si="18"/>
        <v>15163.367999999999</v>
      </c>
      <c r="AL24" s="332">
        <f t="shared" si="18"/>
        <v>4895.1560104</v>
      </c>
      <c r="AM24" s="332">
        <f t="shared" si="18"/>
        <v>24320.767877864997</v>
      </c>
      <c r="AN24" s="332">
        <f t="shared" si="18"/>
        <v>1592.3880000000001</v>
      </c>
      <c r="AO24" s="332">
        <f t="shared" si="18"/>
        <v>32012.005909196996</v>
      </c>
      <c r="AP24" s="332">
        <f t="shared" si="18"/>
        <v>45157.9343900458</v>
      </c>
      <c r="AQ24" s="332">
        <f t="shared" si="18"/>
        <v>5687.100000000001</v>
      </c>
      <c r="AR24" s="332">
        <f t="shared" si="18"/>
        <v>5687.100000000001</v>
      </c>
      <c r="AS24" s="332">
        <f t="shared" si="18"/>
        <v>4360.11</v>
      </c>
      <c r="AT24" s="332">
        <f t="shared" si="18"/>
        <v>0</v>
      </c>
      <c r="AU24" s="332">
        <f t="shared" si="18"/>
        <v>24606.5838</v>
      </c>
      <c r="AV24" s="332">
        <f t="shared" si="18"/>
        <v>0</v>
      </c>
      <c r="AW24" s="332">
        <f t="shared" si="18"/>
        <v>11198.8</v>
      </c>
      <c r="AX24" s="332">
        <f t="shared" si="18"/>
        <v>1378.42</v>
      </c>
      <c r="AY24" s="332">
        <f t="shared" si="18"/>
        <v>3592.5119999999997</v>
      </c>
      <c r="AZ24" s="332">
        <f t="shared" si="18"/>
        <v>0</v>
      </c>
      <c r="BA24" s="332">
        <f t="shared" si="18"/>
        <v>7060.88</v>
      </c>
      <c r="BB24" s="332">
        <f t="shared" si="18"/>
        <v>0</v>
      </c>
      <c r="BC24" s="332">
        <f t="shared" si="18"/>
        <v>186713.1259875078</v>
      </c>
      <c r="BD24" s="332">
        <f t="shared" si="18"/>
        <v>0</v>
      </c>
      <c r="BE24" s="333">
        <f t="shared" si="18"/>
        <v>186713.1259875078</v>
      </c>
      <c r="BF24" s="332">
        <f t="shared" si="18"/>
        <v>3998.067585042212</v>
      </c>
      <c r="BG24" s="334">
        <f t="shared" si="18"/>
        <v>-20631.09999999999</v>
      </c>
    </row>
    <row r="25" spans="1:59" ht="12.75">
      <c r="A25" s="5" t="s">
        <v>128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3"/>
      <c r="BF25" s="261"/>
      <c r="BG25" s="261"/>
    </row>
    <row r="26" spans="1:59" ht="12.75">
      <c r="A26" s="264" t="s">
        <v>43</v>
      </c>
      <c r="B26" s="225">
        <v>631.9</v>
      </c>
      <c r="C26" s="226">
        <f>B26*14.05</f>
        <v>8878.195</v>
      </c>
      <c r="D26" s="321">
        <v>216.34199999999998</v>
      </c>
      <c r="E26" s="293"/>
      <c r="F26" s="293"/>
      <c r="G26" s="293">
        <v>5239.25</v>
      </c>
      <c r="H26" s="293"/>
      <c r="I26" s="293"/>
      <c r="J26" s="293"/>
      <c r="K26" s="293"/>
      <c r="L26" s="293"/>
      <c r="M26" s="293">
        <v>1795.52</v>
      </c>
      <c r="N26" s="293"/>
      <c r="O26" s="293">
        <v>689.63</v>
      </c>
      <c r="P26" s="293"/>
      <c r="Q26" s="293"/>
      <c r="R26" s="293"/>
      <c r="S26" s="299"/>
      <c r="T26" s="324"/>
      <c r="U26" s="318">
        <f aca="true" t="shared" si="19" ref="U26:V31">E26+G26+I26+K26+M26+O26+Q26+S26</f>
        <v>7724.400000000001</v>
      </c>
      <c r="V26" s="319">
        <f t="shared" si="19"/>
        <v>0</v>
      </c>
      <c r="W26" s="293">
        <v>0</v>
      </c>
      <c r="X26" s="293">
        <v>5229.98</v>
      </c>
      <c r="Y26" s="293">
        <v>0</v>
      </c>
      <c r="Z26" s="293">
        <v>0</v>
      </c>
      <c r="AA26" s="293">
        <v>1794.04</v>
      </c>
      <c r="AB26" s="293">
        <v>688.85</v>
      </c>
      <c r="AC26" s="293"/>
      <c r="AD26" s="293"/>
      <c r="AE26" s="299"/>
      <c r="AF26" s="309">
        <f aca="true" t="shared" si="20" ref="AF26:AF31">SUM(W26:AE26)</f>
        <v>7712.87</v>
      </c>
      <c r="AG26" s="306">
        <f aca="true" t="shared" si="21" ref="AG26:AG37">D26+V26+AF26</f>
        <v>7929.2119999999995</v>
      </c>
      <c r="AH26" s="362">
        <f aca="true" t="shared" si="22" ref="AH26:AI37">AC26</f>
        <v>0</v>
      </c>
      <c r="AI26" s="362">
        <f t="shared" si="22"/>
        <v>0</v>
      </c>
      <c r="AJ26" s="359"/>
      <c r="AK26" s="310">
        <f>1*B26</f>
        <v>631.9</v>
      </c>
      <c r="AL26" s="235">
        <f aca="true" t="shared" si="23" ref="AL26:AL37">B26*0.2</f>
        <v>126.38</v>
      </c>
      <c r="AM26" s="235">
        <f aca="true" t="shared" si="24" ref="AM26:AM37">B26*1</f>
        <v>631.9</v>
      </c>
      <c r="AN26" s="235">
        <f aca="true" t="shared" si="25" ref="AN26:AN37">B26*0.21</f>
        <v>132.69899999999998</v>
      </c>
      <c r="AO26" s="235">
        <f aca="true" t="shared" si="26" ref="AO26:AO37">2.02*B26</f>
        <v>1276.4379999999999</v>
      </c>
      <c r="AP26" s="235">
        <f aca="true" t="shared" si="27" ref="AP26:AP37">B26*1.03</f>
        <v>650.857</v>
      </c>
      <c r="AQ26" s="235">
        <f aca="true" t="shared" si="28" ref="AQ26:AQ37">B26*0.75</f>
        <v>473.92499999999995</v>
      </c>
      <c r="AR26" s="235">
        <f aca="true" t="shared" si="29" ref="AR26:AR37">B26*0.75</f>
        <v>473.92499999999995</v>
      </c>
      <c r="AS26" s="320">
        <f>B26*1.15</f>
        <v>726.685</v>
      </c>
      <c r="AT26" s="285"/>
      <c r="AU26" s="286"/>
      <c r="AV26" s="286"/>
      <c r="AW26" s="286"/>
      <c r="AX26" s="286"/>
      <c r="AY26" s="286"/>
      <c r="AZ26" s="286"/>
      <c r="BA26" s="240"/>
      <c r="BB26" s="311"/>
      <c r="BC26" s="301">
        <f>SUM(AK26:BB26)</f>
        <v>5124.709000000001</v>
      </c>
      <c r="BD26" s="363"/>
      <c r="BE26" s="241">
        <f>BC26</f>
        <v>5124.709000000001</v>
      </c>
      <c r="BF26" s="242">
        <f>AG26-BE26</f>
        <v>2804.502999999999</v>
      </c>
      <c r="BG26" s="242">
        <f>AF26-U26</f>
        <v>-11.530000000000655</v>
      </c>
    </row>
    <row r="27" spans="1:59" ht="12.75">
      <c r="A27" s="264" t="s">
        <v>44</v>
      </c>
      <c r="B27" s="225">
        <v>631.9</v>
      </c>
      <c r="C27" s="226">
        <f>B27*14.05</f>
        <v>8878.195</v>
      </c>
      <c r="D27" s="321">
        <v>216.34199999999998</v>
      </c>
      <c r="E27" s="302"/>
      <c r="F27" s="302"/>
      <c r="G27" s="302">
        <v>5239.25</v>
      </c>
      <c r="H27" s="302"/>
      <c r="I27" s="302"/>
      <c r="J27" s="302"/>
      <c r="K27" s="302"/>
      <c r="L27" s="302"/>
      <c r="M27" s="302">
        <v>1795.52</v>
      </c>
      <c r="N27" s="302"/>
      <c r="O27" s="302">
        <v>689.63</v>
      </c>
      <c r="P27" s="302"/>
      <c r="Q27" s="302"/>
      <c r="R27" s="302"/>
      <c r="S27" s="303"/>
      <c r="T27" s="324"/>
      <c r="U27" s="318">
        <f t="shared" si="19"/>
        <v>7724.400000000001</v>
      </c>
      <c r="V27" s="319">
        <f t="shared" si="19"/>
        <v>0</v>
      </c>
      <c r="W27" s="302">
        <v>0</v>
      </c>
      <c r="X27" s="302">
        <v>4429.54</v>
      </c>
      <c r="Y27" s="302">
        <v>0</v>
      </c>
      <c r="Z27" s="302">
        <v>0</v>
      </c>
      <c r="AA27" s="302">
        <v>1547.61</v>
      </c>
      <c r="AB27" s="302">
        <v>590.67</v>
      </c>
      <c r="AC27" s="302"/>
      <c r="AD27" s="302"/>
      <c r="AE27" s="303"/>
      <c r="AF27" s="309">
        <f t="shared" si="20"/>
        <v>6567.82</v>
      </c>
      <c r="AG27" s="306">
        <f t="shared" si="21"/>
        <v>6784.161999999999</v>
      </c>
      <c r="AH27" s="362">
        <f t="shared" si="22"/>
        <v>0</v>
      </c>
      <c r="AI27" s="362">
        <f t="shared" si="22"/>
        <v>0</v>
      </c>
      <c r="AJ27" s="359"/>
      <c r="AK27" s="546">
        <f>1*B27</f>
        <v>631.9</v>
      </c>
      <c r="AL27" s="235">
        <f t="shared" si="23"/>
        <v>126.38</v>
      </c>
      <c r="AM27" s="235">
        <f t="shared" si="24"/>
        <v>631.9</v>
      </c>
      <c r="AN27" s="235">
        <f t="shared" si="25"/>
        <v>132.69899999999998</v>
      </c>
      <c r="AO27" s="235">
        <f t="shared" si="26"/>
        <v>1276.4379999999999</v>
      </c>
      <c r="AP27" s="235">
        <f t="shared" si="27"/>
        <v>650.857</v>
      </c>
      <c r="AQ27" s="235">
        <f t="shared" si="28"/>
        <v>473.92499999999995</v>
      </c>
      <c r="AR27" s="235">
        <f t="shared" si="29"/>
        <v>473.92499999999995</v>
      </c>
      <c r="AS27" s="320">
        <f>B27*1.15</f>
        <v>726.685</v>
      </c>
      <c r="AT27" s="285"/>
      <c r="AU27" s="547"/>
      <c r="AV27" s="286"/>
      <c r="AW27" s="286"/>
      <c r="AX27" s="286"/>
      <c r="AY27" s="286"/>
      <c r="AZ27" s="286"/>
      <c r="BA27" s="240"/>
      <c r="BB27" s="311"/>
      <c r="BC27" s="313">
        <f>SUM(AK27:BB27)</f>
        <v>5124.709000000001</v>
      </c>
      <c r="BD27" s="363"/>
      <c r="BE27" s="241">
        <f aca="true" t="shared" si="30" ref="BE27:BE37">BC27</f>
        <v>5124.709000000001</v>
      </c>
      <c r="BF27" s="242">
        <f aca="true" t="shared" si="31" ref="BF27:BF37">AG27-BE27</f>
        <v>1659.4529999999986</v>
      </c>
      <c r="BG27" s="242">
        <f aca="true" t="shared" si="32" ref="BG27:BG37">AF27-U27</f>
        <v>-1156.5800000000008</v>
      </c>
    </row>
    <row r="28" spans="1:59" ht="12.75">
      <c r="A28" s="264" t="s">
        <v>45</v>
      </c>
      <c r="B28" s="225">
        <v>631.9</v>
      </c>
      <c r="C28" s="226">
        <f>B28*14.05</f>
        <v>8878.195</v>
      </c>
      <c r="D28" s="321">
        <v>216.34199999999998</v>
      </c>
      <c r="E28" s="302"/>
      <c r="F28" s="302"/>
      <c r="G28" s="302">
        <v>5239.25</v>
      </c>
      <c r="H28" s="302"/>
      <c r="I28" s="302"/>
      <c r="J28" s="302"/>
      <c r="K28" s="302"/>
      <c r="L28" s="302"/>
      <c r="M28" s="302">
        <v>1795.52</v>
      </c>
      <c r="N28" s="302"/>
      <c r="O28" s="302">
        <v>689.63</v>
      </c>
      <c r="P28" s="302"/>
      <c r="Q28" s="302"/>
      <c r="R28" s="302"/>
      <c r="S28" s="303"/>
      <c r="T28" s="324"/>
      <c r="U28" s="318">
        <f t="shared" si="19"/>
        <v>7724.400000000001</v>
      </c>
      <c r="V28" s="319">
        <f t="shared" si="19"/>
        <v>0</v>
      </c>
      <c r="W28" s="293">
        <v>0</v>
      </c>
      <c r="X28" s="293">
        <v>4316.36</v>
      </c>
      <c r="Y28" s="293">
        <v>0</v>
      </c>
      <c r="Z28" s="293">
        <v>0</v>
      </c>
      <c r="AA28" s="293">
        <v>1406.26</v>
      </c>
      <c r="AB28" s="293">
        <v>536.16</v>
      </c>
      <c r="AC28" s="293"/>
      <c r="AD28" s="293"/>
      <c r="AE28" s="299"/>
      <c r="AF28" s="309">
        <f t="shared" si="20"/>
        <v>6258.78</v>
      </c>
      <c r="AG28" s="306">
        <f t="shared" si="21"/>
        <v>6475.121999999999</v>
      </c>
      <c r="AH28" s="362">
        <f t="shared" si="22"/>
        <v>0</v>
      </c>
      <c r="AI28" s="362">
        <f t="shared" si="22"/>
        <v>0</v>
      </c>
      <c r="AJ28" s="359"/>
      <c r="AK28" s="546">
        <f>1*B28</f>
        <v>631.9</v>
      </c>
      <c r="AL28" s="235">
        <f t="shared" si="23"/>
        <v>126.38</v>
      </c>
      <c r="AM28" s="235">
        <f t="shared" si="24"/>
        <v>631.9</v>
      </c>
      <c r="AN28" s="235">
        <f t="shared" si="25"/>
        <v>132.69899999999998</v>
      </c>
      <c r="AO28" s="235">
        <f t="shared" si="26"/>
        <v>1276.4379999999999</v>
      </c>
      <c r="AP28" s="235">
        <f t="shared" si="27"/>
        <v>650.857</v>
      </c>
      <c r="AQ28" s="235">
        <f t="shared" si="28"/>
        <v>473.92499999999995</v>
      </c>
      <c r="AR28" s="235">
        <f t="shared" si="29"/>
        <v>473.92499999999995</v>
      </c>
      <c r="AS28" s="320">
        <f>B28*1.15</f>
        <v>726.685</v>
      </c>
      <c r="AT28" s="285"/>
      <c r="AU28" s="547"/>
      <c r="AV28" s="286"/>
      <c r="AW28" s="286"/>
      <c r="AX28" s="286"/>
      <c r="AY28" s="286"/>
      <c r="AZ28" s="286"/>
      <c r="BA28" s="240"/>
      <c r="BB28" s="311"/>
      <c r="BC28" s="301">
        <f>SUM(AK28:BB28)</f>
        <v>5124.709000000001</v>
      </c>
      <c r="BD28" s="363"/>
      <c r="BE28" s="241">
        <f t="shared" si="30"/>
        <v>5124.709000000001</v>
      </c>
      <c r="BF28" s="242">
        <f t="shared" si="31"/>
        <v>1350.4129999999986</v>
      </c>
      <c r="BG28" s="242">
        <f t="shared" si="32"/>
        <v>-1465.6200000000008</v>
      </c>
    </row>
    <row r="29" spans="1:59" ht="12.75">
      <c r="A29" s="264" t="s">
        <v>46</v>
      </c>
      <c r="B29" s="225">
        <v>631.9</v>
      </c>
      <c r="C29" s="226">
        <f>B29*14.05</f>
        <v>8878.195</v>
      </c>
      <c r="D29" s="321">
        <v>216.34199999999998</v>
      </c>
      <c r="E29" s="302"/>
      <c r="F29" s="302"/>
      <c r="G29" s="302">
        <v>5239.25</v>
      </c>
      <c r="H29" s="302"/>
      <c r="I29" s="302"/>
      <c r="J29" s="302"/>
      <c r="K29" s="302"/>
      <c r="L29" s="302"/>
      <c r="M29" s="302">
        <v>1795.52</v>
      </c>
      <c r="N29" s="302"/>
      <c r="O29" s="302">
        <v>689.63</v>
      </c>
      <c r="P29" s="302"/>
      <c r="Q29" s="302"/>
      <c r="R29" s="302"/>
      <c r="S29" s="303"/>
      <c r="T29" s="324"/>
      <c r="U29" s="318">
        <f t="shared" si="19"/>
        <v>7724.400000000001</v>
      </c>
      <c r="V29" s="319">
        <f t="shared" si="19"/>
        <v>0</v>
      </c>
      <c r="W29" s="322">
        <v>0</v>
      </c>
      <c r="X29" s="322">
        <v>18549.11</v>
      </c>
      <c r="Y29" s="322">
        <v>0</v>
      </c>
      <c r="Z29" s="322">
        <v>0</v>
      </c>
      <c r="AA29" s="322">
        <v>1300.3</v>
      </c>
      <c r="AB29" s="322">
        <v>491.52</v>
      </c>
      <c r="AC29" s="322"/>
      <c r="AD29" s="322"/>
      <c r="AE29" s="323"/>
      <c r="AF29" s="309">
        <f t="shared" si="20"/>
        <v>20340.93</v>
      </c>
      <c r="AG29" s="306">
        <f t="shared" si="21"/>
        <v>20557.272</v>
      </c>
      <c r="AH29" s="362">
        <f t="shared" si="22"/>
        <v>0</v>
      </c>
      <c r="AI29" s="362">
        <f t="shared" si="22"/>
        <v>0</v>
      </c>
      <c r="AJ29" s="359"/>
      <c r="AK29" s="546">
        <f>1*B29</f>
        <v>631.9</v>
      </c>
      <c r="AL29" s="235">
        <f t="shared" si="23"/>
        <v>126.38</v>
      </c>
      <c r="AM29" s="235">
        <f t="shared" si="24"/>
        <v>631.9</v>
      </c>
      <c r="AN29" s="235">
        <f t="shared" si="25"/>
        <v>132.69899999999998</v>
      </c>
      <c r="AO29" s="235">
        <f t="shared" si="26"/>
        <v>1276.4379999999999</v>
      </c>
      <c r="AP29" s="235">
        <f t="shared" si="27"/>
        <v>650.857</v>
      </c>
      <c r="AQ29" s="235">
        <f t="shared" si="28"/>
        <v>473.92499999999995</v>
      </c>
      <c r="AR29" s="235">
        <f t="shared" si="29"/>
        <v>473.92499999999995</v>
      </c>
      <c r="AS29" s="320"/>
      <c r="AT29" s="285"/>
      <c r="AU29" s="547"/>
      <c r="AV29" s="286"/>
      <c r="AW29" s="286"/>
      <c r="AX29" s="286"/>
      <c r="AY29" s="286"/>
      <c r="AZ29" s="286"/>
      <c r="BA29" s="240"/>
      <c r="BB29" s="311"/>
      <c r="BC29" s="301">
        <f>SUM(AK29:BB29)</f>
        <v>4398.024</v>
      </c>
      <c r="BD29" s="363"/>
      <c r="BE29" s="241">
        <f t="shared" si="30"/>
        <v>4398.024</v>
      </c>
      <c r="BF29" s="242">
        <f t="shared" si="31"/>
        <v>16159.248</v>
      </c>
      <c r="BG29" s="242">
        <f t="shared" si="32"/>
        <v>12616.529999999999</v>
      </c>
    </row>
    <row r="30" spans="1:59" ht="12.75">
      <c r="A30" s="264" t="s">
        <v>47</v>
      </c>
      <c r="B30" s="225">
        <v>631.9</v>
      </c>
      <c r="C30" s="226">
        <f>B30*14.05</f>
        <v>8878.195</v>
      </c>
      <c r="D30" s="321">
        <v>216.34199999999998</v>
      </c>
      <c r="E30" s="302"/>
      <c r="F30" s="302"/>
      <c r="G30" s="302">
        <v>5239.25</v>
      </c>
      <c r="H30" s="302"/>
      <c r="I30" s="302"/>
      <c r="J30" s="302"/>
      <c r="K30" s="302"/>
      <c r="L30" s="302"/>
      <c r="M30" s="302">
        <v>1795.52</v>
      </c>
      <c r="N30" s="302"/>
      <c r="O30" s="302">
        <v>689.63</v>
      </c>
      <c r="P30" s="302"/>
      <c r="Q30" s="302"/>
      <c r="R30" s="302"/>
      <c r="S30" s="303"/>
      <c r="T30" s="324"/>
      <c r="U30" s="318">
        <f t="shared" si="19"/>
        <v>7724.400000000001</v>
      </c>
      <c r="V30" s="319">
        <f t="shared" si="19"/>
        <v>0</v>
      </c>
      <c r="W30" s="322">
        <v>0</v>
      </c>
      <c r="X30" s="322">
        <v>3674.14</v>
      </c>
      <c r="Y30" s="322">
        <v>0</v>
      </c>
      <c r="Z30" s="322">
        <v>0</v>
      </c>
      <c r="AA30" s="322">
        <v>1236.24</v>
      </c>
      <c r="AB30" s="322">
        <v>471.51</v>
      </c>
      <c r="AC30" s="322"/>
      <c r="AD30" s="322"/>
      <c r="AE30" s="322"/>
      <c r="AF30" s="309">
        <f t="shared" si="20"/>
        <v>5381.89</v>
      </c>
      <c r="AG30" s="306">
        <f t="shared" si="21"/>
        <v>5598.232</v>
      </c>
      <c r="AH30" s="362">
        <f t="shared" si="22"/>
        <v>0</v>
      </c>
      <c r="AI30" s="362">
        <f t="shared" si="22"/>
        <v>0</v>
      </c>
      <c r="AJ30" s="359"/>
      <c r="AK30" s="546">
        <f>1*B30</f>
        <v>631.9</v>
      </c>
      <c r="AL30" s="235">
        <f t="shared" si="23"/>
        <v>126.38</v>
      </c>
      <c r="AM30" s="235">
        <f t="shared" si="24"/>
        <v>631.9</v>
      </c>
      <c r="AN30" s="235">
        <f t="shared" si="25"/>
        <v>132.69899999999998</v>
      </c>
      <c r="AO30" s="235">
        <f t="shared" si="26"/>
        <v>1276.4379999999999</v>
      </c>
      <c r="AP30" s="235">
        <f t="shared" si="27"/>
        <v>650.857</v>
      </c>
      <c r="AQ30" s="235">
        <f t="shared" si="28"/>
        <v>473.92499999999995</v>
      </c>
      <c r="AR30" s="235">
        <f t="shared" si="29"/>
        <v>473.92499999999995</v>
      </c>
      <c r="AS30" s="320"/>
      <c r="AT30" s="285"/>
      <c r="AU30" s="547"/>
      <c r="AV30" s="286"/>
      <c r="AW30" s="286"/>
      <c r="AX30" s="286"/>
      <c r="AY30" s="286"/>
      <c r="AZ30" s="286"/>
      <c r="BA30" s="240"/>
      <c r="BB30" s="311"/>
      <c r="BC30" s="301">
        <f>SUM(AK30:BB30)</f>
        <v>4398.024</v>
      </c>
      <c r="BD30" s="363"/>
      <c r="BE30" s="241">
        <f t="shared" si="30"/>
        <v>4398.024</v>
      </c>
      <c r="BF30" s="242">
        <f t="shared" si="31"/>
        <v>1200.2079999999996</v>
      </c>
      <c r="BG30" s="242">
        <f t="shared" si="32"/>
        <v>-2342.51</v>
      </c>
    </row>
    <row r="31" spans="1:59" ht="12.75">
      <c r="A31" s="264" t="s">
        <v>48</v>
      </c>
      <c r="B31" s="225">
        <v>631.9</v>
      </c>
      <c r="C31" s="226">
        <f>B31*14.05</f>
        <v>8878.195</v>
      </c>
      <c r="D31" s="321">
        <v>216.34199999999998</v>
      </c>
      <c r="E31" s="302"/>
      <c r="F31" s="302"/>
      <c r="G31" s="302">
        <v>5239.24</v>
      </c>
      <c r="H31" s="302"/>
      <c r="I31" s="302"/>
      <c r="J31" s="302"/>
      <c r="K31" s="302"/>
      <c r="L31" s="302"/>
      <c r="M31" s="302">
        <v>1795.52</v>
      </c>
      <c r="N31" s="302"/>
      <c r="O31" s="302">
        <v>689.63</v>
      </c>
      <c r="P31" s="302"/>
      <c r="Q31" s="302"/>
      <c r="R31" s="302"/>
      <c r="S31" s="303"/>
      <c r="T31" s="324"/>
      <c r="U31" s="318">
        <f t="shared" si="19"/>
        <v>7724.39</v>
      </c>
      <c r="V31" s="319">
        <f t="shared" si="19"/>
        <v>0</v>
      </c>
      <c r="W31" s="322"/>
      <c r="X31" s="548">
        <v>3756.49</v>
      </c>
      <c r="Y31" s="322"/>
      <c r="Z31" s="322"/>
      <c r="AA31" s="548">
        <v>1350.69</v>
      </c>
      <c r="AB31" s="548">
        <v>512.69</v>
      </c>
      <c r="AC31" s="322"/>
      <c r="AD31" s="548"/>
      <c r="AE31" s="549"/>
      <c r="AF31" s="309">
        <f t="shared" si="20"/>
        <v>5619.870000000001</v>
      </c>
      <c r="AG31" s="306">
        <f t="shared" si="21"/>
        <v>5836.212</v>
      </c>
      <c r="AH31" s="362">
        <f t="shared" si="22"/>
        <v>0</v>
      </c>
      <c r="AI31" s="362">
        <f t="shared" si="22"/>
        <v>0</v>
      </c>
      <c r="AJ31" s="359"/>
      <c r="AK31" s="546">
        <f>1*B31</f>
        <v>631.9</v>
      </c>
      <c r="AL31" s="235">
        <f t="shared" si="23"/>
        <v>126.38</v>
      </c>
      <c r="AM31" s="235">
        <f t="shared" si="24"/>
        <v>631.9</v>
      </c>
      <c r="AN31" s="235">
        <f t="shared" si="25"/>
        <v>132.69899999999998</v>
      </c>
      <c r="AO31" s="235">
        <f t="shared" si="26"/>
        <v>1276.4379999999999</v>
      </c>
      <c r="AP31" s="235">
        <f t="shared" si="27"/>
        <v>650.857</v>
      </c>
      <c r="AQ31" s="235">
        <f t="shared" si="28"/>
        <v>473.92499999999995</v>
      </c>
      <c r="AR31" s="235">
        <f t="shared" si="29"/>
        <v>473.92499999999995</v>
      </c>
      <c r="AS31" s="320"/>
      <c r="AT31" s="285"/>
      <c r="AU31" s="547"/>
      <c r="AV31" s="286"/>
      <c r="AW31" s="286">
        <v>726</v>
      </c>
      <c r="AX31" s="286">
        <f>2050</f>
        <v>2050</v>
      </c>
      <c r="AY31" s="286"/>
      <c r="AZ31" s="286"/>
      <c r="BA31" s="240"/>
      <c r="BB31" s="311"/>
      <c r="BC31" s="301">
        <f>SUM(AK31:BB31)</f>
        <v>7174.024</v>
      </c>
      <c r="BD31" s="363"/>
      <c r="BE31" s="241">
        <f t="shared" si="30"/>
        <v>7174.024</v>
      </c>
      <c r="BF31" s="242">
        <f t="shared" si="31"/>
        <v>-1337.812</v>
      </c>
      <c r="BG31" s="242">
        <f t="shared" si="32"/>
        <v>-2104.5199999999995</v>
      </c>
    </row>
    <row r="32" spans="1:59" ht="12.75">
      <c r="A32" s="264" t="s">
        <v>49</v>
      </c>
      <c r="B32" s="225">
        <v>631.9</v>
      </c>
      <c r="C32" s="316">
        <f>B32*14.05</f>
        <v>8878.195</v>
      </c>
      <c r="D32" s="321">
        <v>289.5165</v>
      </c>
      <c r="E32" s="302"/>
      <c r="F32" s="302"/>
      <c r="G32" s="302">
        <v>5329.25</v>
      </c>
      <c r="H32" s="302"/>
      <c r="I32" s="302"/>
      <c r="J32" s="302"/>
      <c r="K32" s="302"/>
      <c r="L32" s="302"/>
      <c r="M32" s="302">
        <v>1795.52</v>
      </c>
      <c r="N32" s="302"/>
      <c r="O32" s="302">
        <v>689.63</v>
      </c>
      <c r="P32" s="302"/>
      <c r="Q32" s="302"/>
      <c r="R32" s="302"/>
      <c r="S32" s="303"/>
      <c r="T32" s="324"/>
      <c r="U32" s="318">
        <f aca="true" t="shared" si="33" ref="U32:V37">G32+M32+O32+Q32+S32</f>
        <v>7814.400000000001</v>
      </c>
      <c r="V32" s="550">
        <f t="shared" si="33"/>
        <v>0</v>
      </c>
      <c r="W32" s="322"/>
      <c r="X32" s="293">
        <v>4550.78</v>
      </c>
      <c r="Y32" s="322"/>
      <c r="Z32" s="322"/>
      <c r="AA32" s="293">
        <v>1561.91</v>
      </c>
      <c r="AB32" s="293">
        <v>596.84</v>
      </c>
      <c r="AC32" s="322"/>
      <c r="AD32" s="293"/>
      <c r="AE32" s="299"/>
      <c r="AF32" s="309">
        <f aca="true" t="shared" si="34" ref="AF32:AF37">SUM(X32:AE32)</f>
        <v>6709.53</v>
      </c>
      <c r="AG32" s="306">
        <f t="shared" si="21"/>
        <v>6999.0464999999995</v>
      </c>
      <c r="AH32" s="551">
        <v>0</v>
      </c>
      <c r="AI32" s="362">
        <f t="shared" si="22"/>
        <v>0</v>
      </c>
      <c r="AJ32" s="359"/>
      <c r="AK32" s="310">
        <f>1*B32</f>
        <v>631.9</v>
      </c>
      <c r="AL32" s="235">
        <f t="shared" si="23"/>
        <v>126.38</v>
      </c>
      <c r="AM32" s="235">
        <f t="shared" si="24"/>
        <v>631.9</v>
      </c>
      <c r="AN32" s="235">
        <f t="shared" si="25"/>
        <v>132.69899999999998</v>
      </c>
      <c r="AO32" s="235">
        <f t="shared" si="26"/>
        <v>1276.4379999999999</v>
      </c>
      <c r="AP32" s="235">
        <f t="shared" si="27"/>
        <v>650.857</v>
      </c>
      <c r="AQ32" s="235">
        <f t="shared" si="28"/>
        <v>473.92499999999995</v>
      </c>
      <c r="AR32" s="235">
        <f t="shared" si="29"/>
        <v>473.92499999999995</v>
      </c>
      <c r="AS32" s="320"/>
      <c r="AT32" s="285"/>
      <c r="AU32" s="547"/>
      <c r="AV32" s="286"/>
      <c r="AW32" s="286"/>
      <c r="AX32" s="286"/>
      <c r="AY32" s="286"/>
      <c r="AZ32" s="286"/>
      <c r="BA32" s="240"/>
      <c r="BB32" s="311"/>
      <c r="BC32" s="301">
        <f>SUM(AK32:BB32)</f>
        <v>4398.024</v>
      </c>
      <c r="BD32" s="363"/>
      <c r="BE32" s="241">
        <f t="shared" si="30"/>
        <v>4398.024</v>
      </c>
      <c r="BF32" s="242">
        <f t="shared" si="31"/>
        <v>2601.022499999999</v>
      </c>
      <c r="BG32" s="242">
        <f t="shared" si="32"/>
        <v>-1104.8700000000008</v>
      </c>
    </row>
    <row r="33" spans="1:59" ht="12.75">
      <c r="A33" s="264" t="s">
        <v>50</v>
      </c>
      <c r="B33" s="225">
        <v>631.9</v>
      </c>
      <c r="C33" s="316">
        <f>B33*14.05</f>
        <v>8878.195</v>
      </c>
      <c r="D33" s="321"/>
      <c r="E33" s="302"/>
      <c r="F33" s="302"/>
      <c r="G33" s="302">
        <v>5329.25</v>
      </c>
      <c r="H33" s="302"/>
      <c r="I33" s="302"/>
      <c r="J33" s="302"/>
      <c r="K33" s="302"/>
      <c r="L33" s="302"/>
      <c r="M33" s="302">
        <v>1795.52</v>
      </c>
      <c r="N33" s="302"/>
      <c r="O33" s="302">
        <v>689.63</v>
      </c>
      <c r="P33" s="302"/>
      <c r="Q33" s="302"/>
      <c r="R33" s="302"/>
      <c r="S33" s="303"/>
      <c r="T33" s="324"/>
      <c r="U33" s="318">
        <f t="shared" si="33"/>
        <v>7814.400000000001</v>
      </c>
      <c r="V33" s="550">
        <f t="shared" si="33"/>
        <v>0</v>
      </c>
      <c r="W33" s="322"/>
      <c r="X33" s="293">
        <v>4962.35</v>
      </c>
      <c r="Y33" s="322"/>
      <c r="Z33" s="322"/>
      <c r="AA33" s="293">
        <v>1666.64</v>
      </c>
      <c r="AB33" s="293">
        <v>637.16</v>
      </c>
      <c r="AC33" s="322"/>
      <c r="AD33" s="293"/>
      <c r="AE33" s="299"/>
      <c r="AF33" s="309">
        <f t="shared" si="34"/>
        <v>7266.150000000001</v>
      </c>
      <c r="AG33" s="306">
        <f t="shared" si="21"/>
        <v>7266.150000000001</v>
      </c>
      <c r="AH33" s="551">
        <v>0</v>
      </c>
      <c r="AI33" s="362">
        <f t="shared" si="22"/>
        <v>0</v>
      </c>
      <c r="AJ33" s="359"/>
      <c r="AK33" s="310">
        <f>1*B33</f>
        <v>631.9</v>
      </c>
      <c r="AL33" s="235">
        <f t="shared" si="23"/>
        <v>126.38</v>
      </c>
      <c r="AM33" s="235">
        <f t="shared" si="24"/>
        <v>631.9</v>
      </c>
      <c r="AN33" s="235">
        <f t="shared" si="25"/>
        <v>132.69899999999998</v>
      </c>
      <c r="AO33" s="235">
        <f t="shared" si="26"/>
        <v>1276.4379999999999</v>
      </c>
      <c r="AP33" s="235">
        <f t="shared" si="27"/>
        <v>650.857</v>
      </c>
      <c r="AQ33" s="235">
        <f t="shared" si="28"/>
        <v>473.92499999999995</v>
      </c>
      <c r="AR33" s="235">
        <f t="shared" si="29"/>
        <v>473.92499999999995</v>
      </c>
      <c r="AS33" s="320"/>
      <c r="AT33" s="285"/>
      <c r="AU33" s="547"/>
      <c r="AV33" s="286"/>
      <c r="AW33" s="286"/>
      <c r="AX33" s="286">
        <f>90+6294</f>
        <v>6384</v>
      </c>
      <c r="AY33" s="286"/>
      <c r="AZ33" s="286"/>
      <c r="BA33" s="240"/>
      <c r="BB33" s="311"/>
      <c r="BC33" s="301">
        <f>SUM(AK33:BB33)</f>
        <v>10782.024000000001</v>
      </c>
      <c r="BD33" s="363"/>
      <c r="BE33" s="241">
        <f t="shared" si="30"/>
        <v>10782.024000000001</v>
      </c>
      <c r="BF33" s="242">
        <f t="shared" si="31"/>
        <v>-3515.8740000000007</v>
      </c>
      <c r="BG33" s="242">
        <f t="shared" si="32"/>
        <v>-548.25</v>
      </c>
    </row>
    <row r="34" spans="1:59" ht="12.75">
      <c r="A34" s="264" t="s">
        <v>51</v>
      </c>
      <c r="B34" s="225">
        <v>631.9</v>
      </c>
      <c r="C34" s="316">
        <f>B34*14.05</f>
        <v>8878.195</v>
      </c>
      <c r="D34" s="321"/>
      <c r="E34" s="302"/>
      <c r="F34" s="302"/>
      <c r="G34" s="302">
        <v>5329.25</v>
      </c>
      <c r="H34" s="302"/>
      <c r="I34" s="302"/>
      <c r="J34" s="302"/>
      <c r="K34" s="302"/>
      <c r="L34" s="302"/>
      <c r="M34" s="302">
        <v>1795.52</v>
      </c>
      <c r="N34" s="302"/>
      <c r="O34" s="302">
        <v>689.63</v>
      </c>
      <c r="P34" s="302"/>
      <c r="Q34" s="302"/>
      <c r="R34" s="302"/>
      <c r="S34" s="303"/>
      <c r="T34" s="324"/>
      <c r="U34" s="318">
        <f t="shared" si="33"/>
        <v>7814.400000000001</v>
      </c>
      <c r="V34" s="550">
        <f t="shared" si="33"/>
        <v>0</v>
      </c>
      <c r="W34" s="322"/>
      <c r="X34" s="293">
        <v>3458.45</v>
      </c>
      <c r="Y34" s="322"/>
      <c r="Z34" s="322"/>
      <c r="AA34" s="293">
        <v>1261.31</v>
      </c>
      <c r="AB34" s="293">
        <v>529.48</v>
      </c>
      <c r="AC34" s="322"/>
      <c r="AD34" s="293"/>
      <c r="AE34" s="299"/>
      <c r="AF34" s="309">
        <f t="shared" si="34"/>
        <v>5249.24</v>
      </c>
      <c r="AG34" s="306">
        <f t="shared" si="21"/>
        <v>5249.24</v>
      </c>
      <c r="AH34" s="551">
        <v>0</v>
      </c>
      <c r="AI34" s="362">
        <f t="shared" si="22"/>
        <v>0</v>
      </c>
      <c r="AJ34" s="359"/>
      <c r="AK34" s="310">
        <f>1*B34</f>
        <v>631.9</v>
      </c>
      <c r="AL34" s="235">
        <f t="shared" si="23"/>
        <v>126.38</v>
      </c>
      <c r="AM34" s="235">
        <f t="shared" si="24"/>
        <v>631.9</v>
      </c>
      <c r="AN34" s="235">
        <f t="shared" si="25"/>
        <v>132.69899999999998</v>
      </c>
      <c r="AO34" s="235">
        <f t="shared" si="26"/>
        <v>1276.4379999999999</v>
      </c>
      <c r="AP34" s="235">
        <f t="shared" si="27"/>
        <v>650.857</v>
      </c>
      <c r="AQ34" s="235">
        <f t="shared" si="28"/>
        <v>473.92499999999995</v>
      </c>
      <c r="AR34" s="235">
        <f t="shared" si="29"/>
        <v>473.92499999999995</v>
      </c>
      <c r="AS34" s="320"/>
      <c r="AT34" s="285"/>
      <c r="AU34" s="547"/>
      <c r="AV34" s="286"/>
      <c r="AW34" s="286"/>
      <c r="AX34" s="286"/>
      <c r="AY34" s="286"/>
      <c r="AZ34" s="286"/>
      <c r="BA34" s="240"/>
      <c r="BB34" s="311"/>
      <c r="BC34" s="301">
        <f>SUM(AK34:BB34)</f>
        <v>4398.024</v>
      </c>
      <c r="BD34" s="363"/>
      <c r="BE34" s="241">
        <f t="shared" si="30"/>
        <v>4398.024</v>
      </c>
      <c r="BF34" s="242">
        <f t="shared" si="31"/>
        <v>851.2159999999994</v>
      </c>
      <c r="BG34" s="242">
        <f t="shared" si="32"/>
        <v>-2565.1600000000008</v>
      </c>
    </row>
    <row r="35" spans="1:59" ht="12.75">
      <c r="A35" s="264" t="s">
        <v>39</v>
      </c>
      <c r="B35" s="225">
        <v>631.9</v>
      </c>
      <c r="C35" s="316">
        <f>B35*14.05</f>
        <v>8878.195</v>
      </c>
      <c r="D35" s="321"/>
      <c r="E35" s="302"/>
      <c r="F35" s="302"/>
      <c r="G35" s="302">
        <v>5329.25</v>
      </c>
      <c r="H35" s="302"/>
      <c r="I35" s="302"/>
      <c r="J35" s="302"/>
      <c r="K35" s="302"/>
      <c r="L35" s="302"/>
      <c r="M35" s="302">
        <v>1795.52</v>
      </c>
      <c r="N35" s="302"/>
      <c r="O35" s="302">
        <v>689.63</v>
      </c>
      <c r="P35" s="302"/>
      <c r="Q35" s="302"/>
      <c r="R35" s="302"/>
      <c r="S35" s="303"/>
      <c r="T35" s="324"/>
      <c r="U35" s="318">
        <f t="shared" si="33"/>
        <v>7814.400000000001</v>
      </c>
      <c r="V35" s="550">
        <f t="shared" si="33"/>
        <v>0</v>
      </c>
      <c r="W35" s="322"/>
      <c r="X35" s="293">
        <v>4781.94</v>
      </c>
      <c r="Y35" s="322"/>
      <c r="Z35" s="322"/>
      <c r="AA35" s="293">
        <v>1908.68</v>
      </c>
      <c r="AB35" s="293">
        <v>707.55</v>
      </c>
      <c r="AC35" s="322"/>
      <c r="AD35" s="293"/>
      <c r="AE35" s="299"/>
      <c r="AF35" s="309">
        <f t="shared" si="34"/>
        <v>7398.17</v>
      </c>
      <c r="AG35" s="306">
        <f t="shared" si="21"/>
        <v>7398.17</v>
      </c>
      <c r="AH35" s="551">
        <v>0</v>
      </c>
      <c r="AI35" s="362">
        <f t="shared" si="22"/>
        <v>0</v>
      </c>
      <c r="AJ35" s="359"/>
      <c r="AK35" s="310">
        <f>1*B35</f>
        <v>631.9</v>
      </c>
      <c r="AL35" s="235">
        <f t="shared" si="23"/>
        <v>126.38</v>
      </c>
      <c r="AM35" s="235">
        <f t="shared" si="24"/>
        <v>631.9</v>
      </c>
      <c r="AN35" s="235">
        <f t="shared" si="25"/>
        <v>132.69899999999998</v>
      </c>
      <c r="AO35" s="235">
        <f t="shared" si="26"/>
        <v>1276.4379999999999</v>
      </c>
      <c r="AP35" s="235">
        <f t="shared" si="27"/>
        <v>650.857</v>
      </c>
      <c r="AQ35" s="235">
        <f t="shared" si="28"/>
        <v>473.92499999999995</v>
      </c>
      <c r="AR35" s="235">
        <f t="shared" si="29"/>
        <v>473.92499999999995</v>
      </c>
      <c r="AS35" s="320">
        <f>B35*1.15</f>
        <v>726.685</v>
      </c>
      <c r="AT35" s="285"/>
      <c r="AU35" s="552"/>
      <c r="AV35" s="286"/>
      <c r="AW35" s="286"/>
      <c r="AX35" s="286">
        <f>2067.6</f>
        <v>2067.6</v>
      </c>
      <c r="AY35" s="286"/>
      <c r="AZ35" s="286"/>
      <c r="BA35" s="240"/>
      <c r="BB35" s="311"/>
      <c r="BC35" s="301">
        <f>SUM(AK35:BB35)</f>
        <v>7192.309000000001</v>
      </c>
      <c r="BD35" s="363"/>
      <c r="BE35" s="241">
        <f t="shared" si="30"/>
        <v>7192.309000000001</v>
      </c>
      <c r="BF35" s="242">
        <f t="shared" si="31"/>
        <v>205.86099999999897</v>
      </c>
      <c r="BG35" s="242">
        <f t="shared" si="32"/>
        <v>-416.2300000000005</v>
      </c>
    </row>
    <row r="36" spans="1:59" ht="12.75">
      <c r="A36" s="264" t="s">
        <v>40</v>
      </c>
      <c r="B36" s="553">
        <v>631.9</v>
      </c>
      <c r="C36" s="316">
        <f>B36*14.05</f>
        <v>8878.195</v>
      </c>
      <c r="D36" s="321"/>
      <c r="E36" s="302"/>
      <c r="F36" s="302"/>
      <c r="G36" s="293">
        <v>5329.25</v>
      </c>
      <c r="H36" s="293"/>
      <c r="I36" s="302"/>
      <c r="J36" s="302"/>
      <c r="K36" s="302"/>
      <c r="L36" s="302"/>
      <c r="M36" s="293">
        <v>1795.52</v>
      </c>
      <c r="N36" s="293"/>
      <c r="O36" s="293">
        <v>689.63</v>
      </c>
      <c r="P36" s="293"/>
      <c r="Q36" s="293"/>
      <c r="R36" s="293"/>
      <c r="S36" s="299"/>
      <c r="T36" s="324"/>
      <c r="U36" s="318">
        <f t="shared" si="33"/>
        <v>7814.400000000001</v>
      </c>
      <c r="V36" s="550">
        <f t="shared" si="33"/>
        <v>0</v>
      </c>
      <c r="W36" s="322"/>
      <c r="X36" s="293">
        <v>4518.3</v>
      </c>
      <c r="Y36" s="322"/>
      <c r="Z36" s="322"/>
      <c r="AA36" s="293">
        <v>1378.51</v>
      </c>
      <c r="AB36" s="293">
        <v>527.45</v>
      </c>
      <c r="AC36" s="322"/>
      <c r="AD36" s="293"/>
      <c r="AE36" s="299"/>
      <c r="AF36" s="309">
        <f t="shared" si="34"/>
        <v>6424.26</v>
      </c>
      <c r="AG36" s="306">
        <f t="shared" si="21"/>
        <v>6424.26</v>
      </c>
      <c r="AH36" s="551">
        <v>0</v>
      </c>
      <c r="AI36" s="362">
        <f t="shared" si="22"/>
        <v>0</v>
      </c>
      <c r="AJ36" s="359"/>
      <c r="AK36" s="310">
        <f>1*B36</f>
        <v>631.9</v>
      </c>
      <c r="AL36" s="235">
        <f t="shared" si="23"/>
        <v>126.38</v>
      </c>
      <c r="AM36" s="235">
        <f t="shared" si="24"/>
        <v>631.9</v>
      </c>
      <c r="AN36" s="235">
        <f t="shared" si="25"/>
        <v>132.69899999999998</v>
      </c>
      <c r="AO36" s="235">
        <f t="shared" si="26"/>
        <v>1276.4379999999999</v>
      </c>
      <c r="AP36" s="235">
        <f t="shared" si="27"/>
        <v>650.857</v>
      </c>
      <c r="AQ36" s="235">
        <f t="shared" si="28"/>
        <v>473.92499999999995</v>
      </c>
      <c r="AR36" s="235">
        <f t="shared" si="29"/>
        <v>473.92499999999995</v>
      </c>
      <c r="AS36" s="320">
        <f>B36*1.15</f>
        <v>726.685</v>
      </c>
      <c r="AT36" s="285"/>
      <c r="AU36" s="547"/>
      <c r="AV36" s="286"/>
      <c r="AW36" s="286"/>
      <c r="AX36" s="286"/>
      <c r="AY36" s="286"/>
      <c r="AZ36" s="286"/>
      <c r="BA36" s="240"/>
      <c r="BB36" s="311"/>
      <c r="BC36" s="301">
        <f>SUM(AK36:BB36)</f>
        <v>5124.709000000001</v>
      </c>
      <c r="BD36" s="363"/>
      <c r="BE36" s="241">
        <f t="shared" si="30"/>
        <v>5124.709000000001</v>
      </c>
      <c r="BF36" s="242">
        <f t="shared" si="31"/>
        <v>1299.5509999999995</v>
      </c>
      <c r="BG36" s="242">
        <f t="shared" si="32"/>
        <v>-1390.1400000000003</v>
      </c>
    </row>
    <row r="37" spans="1:59" ht="13.5" thickBot="1">
      <c r="A37" s="264" t="s">
        <v>41</v>
      </c>
      <c r="B37" s="553">
        <v>631.9</v>
      </c>
      <c r="C37" s="316">
        <f>B37*14.05</f>
        <v>8878.195</v>
      </c>
      <c r="D37" s="321"/>
      <c r="E37" s="293"/>
      <c r="F37" s="293"/>
      <c r="G37" s="293">
        <v>5329.25</v>
      </c>
      <c r="H37" s="293"/>
      <c r="I37" s="293"/>
      <c r="J37" s="293"/>
      <c r="K37" s="293"/>
      <c r="L37" s="293"/>
      <c r="M37" s="293">
        <v>1795.52</v>
      </c>
      <c r="N37" s="293"/>
      <c r="O37" s="293">
        <v>689.63</v>
      </c>
      <c r="P37" s="293"/>
      <c r="Q37" s="293"/>
      <c r="R37" s="293"/>
      <c r="S37" s="299"/>
      <c r="T37" s="324"/>
      <c r="U37" s="318">
        <f t="shared" si="33"/>
        <v>7814.400000000001</v>
      </c>
      <c r="V37" s="550">
        <f t="shared" si="33"/>
        <v>0</v>
      </c>
      <c r="W37" s="322"/>
      <c r="X37" s="293">
        <v>4634.86</v>
      </c>
      <c r="Y37" s="293"/>
      <c r="Z37" s="293"/>
      <c r="AA37" s="293">
        <v>1581.04</v>
      </c>
      <c r="AB37" s="293">
        <v>581.46</v>
      </c>
      <c r="AC37" s="293"/>
      <c r="AD37" s="293"/>
      <c r="AE37" s="299"/>
      <c r="AF37" s="309">
        <f t="shared" si="34"/>
        <v>6797.36</v>
      </c>
      <c r="AG37" s="306">
        <f t="shared" si="21"/>
        <v>6797.36</v>
      </c>
      <c r="AH37" s="551">
        <v>0</v>
      </c>
      <c r="AI37" s="362">
        <f t="shared" si="22"/>
        <v>0</v>
      </c>
      <c r="AJ37" s="359"/>
      <c r="AK37" s="310">
        <f>1*B37</f>
        <v>631.9</v>
      </c>
      <c r="AL37" s="235">
        <f t="shared" si="23"/>
        <v>126.38</v>
      </c>
      <c r="AM37" s="235">
        <f t="shared" si="24"/>
        <v>631.9</v>
      </c>
      <c r="AN37" s="235">
        <f t="shared" si="25"/>
        <v>132.69899999999998</v>
      </c>
      <c r="AO37" s="235">
        <f t="shared" si="26"/>
        <v>1276.4379999999999</v>
      </c>
      <c r="AP37" s="235">
        <f t="shared" si="27"/>
        <v>650.857</v>
      </c>
      <c r="AQ37" s="235">
        <f t="shared" si="28"/>
        <v>473.92499999999995</v>
      </c>
      <c r="AR37" s="235">
        <f t="shared" si="29"/>
        <v>473.92499999999995</v>
      </c>
      <c r="AS37" s="320">
        <f>B37*1.15</f>
        <v>726.685</v>
      </c>
      <c r="AT37" s="285"/>
      <c r="AU37" s="547"/>
      <c r="AV37" s="286"/>
      <c r="AW37" s="286"/>
      <c r="AX37" s="286">
        <f>6000</f>
        <v>6000</v>
      </c>
      <c r="AY37" s="286"/>
      <c r="AZ37" s="286"/>
      <c r="BA37" s="240"/>
      <c r="BB37" s="311"/>
      <c r="BC37" s="301">
        <f>SUM(AK37:BB37)</f>
        <v>11124.709</v>
      </c>
      <c r="BD37" s="363"/>
      <c r="BE37" s="241">
        <f t="shared" si="30"/>
        <v>11124.709</v>
      </c>
      <c r="BF37" s="242">
        <f t="shared" si="31"/>
        <v>-4327.349000000001</v>
      </c>
      <c r="BG37" s="242">
        <f t="shared" si="32"/>
        <v>-1017.0400000000009</v>
      </c>
    </row>
    <row r="38" spans="1:59" s="24" customFormat="1" ht="13.5" thickBot="1">
      <c r="A38" s="325" t="s">
        <v>3</v>
      </c>
      <c r="B38" s="326"/>
      <c r="C38" s="327">
        <f aca="true" t="shared" si="35" ref="C38:AX38">SUM(C26:C37)</f>
        <v>106538.34000000003</v>
      </c>
      <c r="D38" s="327">
        <f t="shared" si="35"/>
        <v>1587.5685</v>
      </c>
      <c r="E38" s="327">
        <f t="shared" si="35"/>
        <v>0</v>
      </c>
      <c r="F38" s="327">
        <f t="shared" si="35"/>
        <v>0</v>
      </c>
      <c r="G38" s="327">
        <f t="shared" si="35"/>
        <v>63410.99</v>
      </c>
      <c r="H38" s="327">
        <f t="shared" si="35"/>
        <v>0</v>
      </c>
      <c r="I38" s="327">
        <f t="shared" si="35"/>
        <v>0</v>
      </c>
      <c r="J38" s="327">
        <f t="shared" si="35"/>
        <v>0</v>
      </c>
      <c r="K38" s="327">
        <f t="shared" si="35"/>
        <v>0</v>
      </c>
      <c r="L38" s="327">
        <f t="shared" si="35"/>
        <v>0</v>
      </c>
      <c r="M38" s="327">
        <f t="shared" si="35"/>
        <v>21546.24</v>
      </c>
      <c r="N38" s="327">
        <f t="shared" si="35"/>
        <v>0</v>
      </c>
      <c r="O38" s="327">
        <f t="shared" si="35"/>
        <v>8275.56</v>
      </c>
      <c r="P38" s="327">
        <f t="shared" si="35"/>
        <v>0</v>
      </c>
      <c r="Q38" s="327">
        <f t="shared" si="35"/>
        <v>0</v>
      </c>
      <c r="R38" s="327">
        <f t="shared" si="35"/>
        <v>0</v>
      </c>
      <c r="S38" s="327">
        <f t="shared" si="35"/>
        <v>0</v>
      </c>
      <c r="T38" s="327">
        <f t="shared" si="35"/>
        <v>0</v>
      </c>
      <c r="U38" s="327">
        <f t="shared" si="35"/>
        <v>93232.78999999998</v>
      </c>
      <c r="V38" s="327">
        <f t="shared" si="35"/>
        <v>0</v>
      </c>
      <c r="W38" s="327">
        <f t="shared" si="35"/>
        <v>0</v>
      </c>
      <c r="X38" s="327">
        <f t="shared" si="35"/>
        <v>66862.3</v>
      </c>
      <c r="Y38" s="327">
        <f t="shared" si="35"/>
        <v>0</v>
      </c>
      <c r="Z38" s="327">
        <f t="shared" si="35"/>
        <v>0</v>
      </c>
      <c r="AA38" s="327">
        <f t="shared" si="35"/>
        <v>17993.23</v>
      </c>
      <c r="AB38" s="327">
        <f t="shared" si="35"/>
        <v>6871.340000000001</v>
      </c>
      <c r="AC38" s="327">
        <f t="shared" si="35"/>
        <v>0</v>
      </c>
      <c r="AD38" s="327">
        <f t="shared" si="35"/>
        <v>0</v>
      </c>
      <c r="AE38" s="327">
        <f t="shared" si="35"/>
        <v>0</v>
      </c>
      <c r="AF38" s="327">
        <f t="shared" si="35"/>
        <v>91726.87</v>
      </c>
      <c r="AG38" s="327">
        <f t="shared" si="35"/>
        <v>93314.43849999999</v>
      </c>
      <c r="AH38" s="327">
        <f t="shared" si="35"/>
        <v>0</v>
      </c>
      <c r="AI38" s="327">
        <f t="shared" si="35"/>
        <v>0</v>
      </c>
      <c r="AJ38" s="327">
        <f t="shared" si="35"/>
        <v>0</v>
      </c>
      <c r="AK38" s="327">
        <f t="shared" si="35"/>
        <v>7582.799999999998</v>
      </c>
      <c r="AL38" s="327">
        <f t="shared" si="35"/>
        <v>1516.5600000000004</v>
      </c>
      <c r="AM38" s="327">
        <f t="shared" si="35"/>
        <v>7582.799999999998</v>
      </c>
      <c r="AN38" s="327">
        <f t="shared" si="35"/>
        <v>1592.3880000000001</v>
      </c>
      <c r="AO38" s="327">
        <f t="shared" si="35"/>
        <v>15317.256</v>
      </c>
      <c r="AP38" s="327">
        <f t="shared" si="35"/>
        <v>7810.284</v>
      </c>
      <c r="AQ38" s="327">
        <f t="shared" si="35"/>
        <v>5687.100000000001</v>
      </c>
      <c r="AR38" s="327">
        <f t="shared" si="35"/>
        <v>5687.100000000001</v>
      </c>
      <c r="AS38" s="327">
        <f t="shared" si="35"/>
        <v>4360.11</v>
      </c>
      <c r="AT38" s="327">
        <f t="shared" si="35"/>
        <v>0</v>
      </c>
      <c r="AU38" s="327">
        <f t="shared" si="35"/>
        <v>0</v>
      </c>
      <c r="AV38" s="327">
        <f t="shared" si="35"/>
        <v>0</v>
      </c>
      <c r="AW38" s="327">
        <f t="shared" si="35"/>
        <v>726</v>
      </c>
      <c r="AX38" s="327">
        <f t="shared" si="35"/>
        <v>16501.6</v>
      </c>
      <c r="AY38" s="327">
        <f>SUM(BA26:BA37)</f>
        <v>0</v>
      </c>
      <c r="AZ38" s="327">
        <f>SUM(BB26:BB37)</f>
        <v>0</v>
      </c>
      <c r="BA38" s="327">
        <f>SUM(BC26:BC37)</f>
        <v>74363.998</v>
      </c>
      <c r="BB38" s="327">
        <f>SUM(BD26:BD37)</f>
        <v>0</v>
      </c>
      <c r="BC38" s="327">
        <f>SUM(BC26:BC37)</f>
        <v>74363.998</v>
      </c>
      <c r="BD38" s="327">
        <f>SUM(BD26:BD37)</f>
        <v>0</v>
      </c>
      <c r="BE38" s="327">
        <f>SUM(BE26:BE37)</f>
        <v>74363.998</v>
      </c>
      <c r="BF38" s="327">
        <f>SUM(BF26:BF37)</f>
        <v>18950.44049999999</v>
      </c>
      <c r="BG38" s="327">
        <f>SUM(BG26:BG37)</f>
        <v>-1505.9200000000073</v>
      </c>
    </row>
    <row r="39" spans="1:59" s="24" customFormat="1" ht="13.5" thickBot="1">
      <c r="A39" s="328"/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30"/>
      <c r="BF39" s="329"/>
      <c r="BG39" s="331"/>
    </row>
    <row r="40" spans="1:59" s="24" customFormat="1" ht="13.5" thickBot="1">
      <c r="A40" s="27" t="s">
        <v>52</v>
      </c>
      <c r="B40" s="329"/>
      <c r="C40" s="332">
        <f aca="true" t="shared" si="36" ref="C40:BG40">C38+C24</f>
        <v>328965.865</v>
      </c>
      <c r="D40" s="332">
        <f t="shared" si="36"/>
        <v>80450.16207255003</v>
      </c>
      <c r="E40" s="332">
        <f t="shared" si="36"/>
        <v>6627.789999999999</v>
      </c>
      <c r="F40" s="332">
        <f t="shared" si="36"/>
        <v>922.51</v>
      </c>
      <c r="G40" s="332">
        <f t="shared" si="36"/>
        <v>107109.43</v>
      </c>
      <c r="H40" s="332">
        <f t="shared" si="36"/>
        <v>0</v>
      </c>
      <c r="I40" s="332">
        <f t="shared" si="36"/>
        <v>8972.5</v>
      </c>
      <c r="J40" s="332">
        <f t="shared" si="36"/>
        <v>1248.9499999999998</v>
      </c>
      <c r="K40" s="332">
        <f t="shared" si="36"/>
        <v>14937.3</v>
      </c>
      <c r="L40" s="332">
        <f t="shared" si="36"/>
        <v>2079.13</v>
      </c>
      <c r="M40" s="332">
        <f t="shared" si="36"/>
        <v>60202.79000000001</v>
      </c>
      <c r="N40" s="332">
        <f t="shared" si="36"/>
        <v>3001.1000000000004</v>
      </c>
      <c r="O40" s="332">
        <f t="shared" si="36"/>
        <v>19873.11</v>
      </c>
      <c r="P40" s="332">
        <f t="shared" si="36"/>
        <v>737.88</v>
      </c>
      <c r="Q40" s="332">
        <f t="shared" si="36"/>
        <v>0</v>
      </c>
      <c r="R40" s="332">
        <f t="shared" si="36"/>
        <v>0</v>
      </c>
      <c r="S40" s="332">
        <f t="shared" si="36"/>
        <v>0</v>
      </c>
      <c r="T40" s="332">
        <f t="shared" si="36"/>
        <v>0</v>
      </c>
      <c r="U40" s="332">
        <f t="shared" si="36"/>
        <v>217722.91999999998</v>
      </c>
      <c r="V40" s="332">
        <f t="shared" si="36"/>
        <v>7989.57</v>
      </c>
      <c r="W40" s="332">
        <f t="shared" si="36"/>
        <v>6055.27</v>
      </c>
      <c r="X40" s="332">
        <f t="shared" si="36"/>
        <v>98631.59</v>
      </c>
      <c r="Y40" s="332">
        <f t="shared" si="36"/>
        <v>8196.34</v>
      </c>
      <c r="Z40" s="332">
        <f t="shared" si="36"/>
        <v>13645.92</v>
      </c>
      <c r="AA40" s="332">
        <f t="shared" si="36"/>
        <v>52768.06</v>
      </c>
      <c r="AB40" s="332">
        <f t="shared" si="36"/>
        <v>16288.720000000001</v>
      </c>
      <c r="AC40" s="332">
        <f t="shared" si="36"/>
        <v>0</v>
      </c>
      <c r="AD40" s="332">
        <f t="shared" si="36"/>
        <v>0</v>
      </c>
      <c r="AE40" s="332">
        <f t="shared" si="36"/>
        <v>0</v>
      </c>
      <c r="AF40" s="332">
        <f t="shared" si="36"/>
        <v>195585.9</v>
      </c>
      <c r="AG40" s="332">
        <f t="shared" si="36"/>
        <v>284025.63207255</v>
      </c>
      <c r="AH40" s="332">
        <f t="shared" si="36"/>
        <v>0</v>
      </c>
      <c r="AI40" s="332">
        <f t="shared" si="36"/>
        <v>0</v>
      </c>
      <c r="AJ40" s="332">
        <f t="shared" si="36"/>
        <v>0</v>
      </c>
      <c r="AK40" s="332">
        <f t="shared" si="36"/>
        <v>22746.167999999998</v>
      </c>
      <c r="AL40" s="332">
        <f t="shared" si="36"/>
        <v>6411.7160104</v>
      </c>
      <c r="AM40" s="332">
        <f t="shared" si="36"/>
        <v>31903.567877864996</v>
      </c>
      <c r="AN40" s="332">
        <f t="shared" si="36"/>
        <v>3184.7760000000003</v>
      </c>
      <c r="AO40" s="332">
        <f t="shared" si="36"/>
        <v>47329.261909197</v>
      </c>
      <c r="AP40" s="332">
        <f t="shared" si="36"/>
        <v>52968.2183900458</v>
      </c>
      <c r="AQ40" s="332">
        <f t="shared" si="36"/>
        <v>11374.200000000003</v>
      </c>
      <c r="AR40" s="332">
        <f t="shared" si="36"/>
        <v>11374.200000000003</v>
      </c>
      <c r="AS40" s="332">
        <f t="shared" si="36"/>
        <v>8720.22</v>
      </c>
      <c r="AT40" s="332">
        <f t="shared" si="36"/>
        <v>0</v>
      </c>
      <c r="AU40" s="332">
        <f t="shared" si="36"/>
        <v>24606.5838</v>
      </c>
      <c r="AV40" s="332">
        <f t="shared" si="36"/>
        <v>0</v>
      </c>
      <c r="AW40" s="332">
        <f t="shared" si="36"/>
        <v>11924.8</v>
      </c>
      <c r="AX40" s="332">
        <f t="shared" si="36"/>
        <v>17880.019999999997</v>
      </c>
      <c r="AY40" s="332">
        <f t="shared" si="36"/>
        <v>3592.5119999999997</v>
      </c>
      <c r="AZ40" s="332">
        <f t="shared" si="36"/>
        <v>0</v>
      </c>
      <c r="BA40" s="332">
        <f t="shared" si="36"/>
        <v>81424.87800000001</v>
      </c>
      <c r="BB40" s="332">
        <f t="shared" si="36"/>
        <v>0</v>
      </c>
      <c r="BC40" s="332">
        <f t="shared" si="36"/>
        <v>261077.12398750783</v>
      </c>
      <c r="BD40" s="332">
        <f t="shared" si="36"/>
        <v>0</v>
      </c>
      <c r="BE40" s="333">
        <f t="shared" si="36"/>
        <v>261077.12398750783</v>
      </c>
      <c r="BF40" s="332">
        <f t="shared" si="36"/>
        <v>22948.508085042202</v>
      </c>
      <c r="BG40" s="334">
        <f t="shared" si="36"/>
        <v>-22137.019999999997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C36" sqref="C36"/>
    </sheetView>
  </sheetViews>
  <sheetFormatPr defaultColWidth="9.00390625" defaultRowHeight="12.75"/>
  <cols>
    <col min="1" max="1" width="10.00390625" style="254" customWidth="1"/>
    <col min="2" max="2" width="7.75390625" style="254" customWidth="1"/>
    <col min="3" max="3" width="9.875" style="254" customWidth="1"/>
    <col min="4" max="4" width="10.125" style="254" customWidth="1"/>
    <col min="5" max="5" width="10.125" style="254" bestFit="1" customWidth="1"/>
    <col min="6" max="6" width="8.375" style="254" customWidth="1"/>
    <col min="7" max="8" width="10.00390625" style="254" customWidth="1"/>
    <col min="9" max="9" width="9.25390625" style="254" customWidth="1"/>
    <col min="10" max="10" width="8.125" style="254" customWidth="1"/>
    <col min="11" max="11" width="10.00390625" style="254" customWidth="1"/>
    <col min="12" max="12" width="9.75390625" style="254" customWidth="1"/>
    <col min="13" max="14" width="10.25390625" style="254" customWidth="1"/>
    <col min="15" max="15" width="9.75390625" style="254" bestFit="1" customWidth="1"/>
    <col min="16" max="16" width="9.75390625" style="254" customWidth="1"/>
    <col min="17" max="16384" width="9.125" style="254" customWidth="1"/>
  </cols>
  <sheetData>
    <row r="1" spans="2:8" ht="20.25" customHeight="1">
      <c r="B1" s="543" t="s">
        <v>53</v>
      </c>
      <c r="C1" s="543"/>
      <c r="D1" s="543"/>
      <c r="E1" s="543"/>
      <c r="F1" s="543"/>
      <c r="G1" s="543"/>
      <c r="H1" s="543"/>
    </row>
    <row r="2" spans="2:11" ht="21" customHeight="1">
      <c r="B2" s="543" t="s">
        <v>54</v>
      </c>
      <c r="C2" s="543"/>
      <c r="D2" s="543"/>
      <c r="E2" s="543"/>
      <c r="F2" s="543"/>
      <c r="G2" s="543"/>
      <c r="H2" s="543"/>
      <c r="J2" s="253"/>
      <c r="K2" s="253"/>
    </row>
    <row r="5" spans="1:15" ht="12.75">
      <c r="A5" s="457" t="s">
        <v>127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253"/>
      <c r="O5" s="253"/>
    </row>
    <row r="6" spans="1:15" ht="12.75">
      <c r="A6" s="544" t="s">
        <v>120</v>
      </c>
      <c r="B6" s="544"/>
      <c r="C6" s="544"/>
      <c r="D6" s="544"/>
      <c r="E6" s="544"/>
      <c r="F6" s="544"/>
      <c r="G6" s="544"/>
      <c r="H6" s="97"/>
      <c r="I6" s="97"/>
      <c r="J6" s="97"/>
      <c r="K6" s="97"/>
      <c r="L6" s="97"/>
      <c r="M6" s="97"/>
      <c r="N6" s="253"/>
      <c r="O6" s="253"/>
    </row>
    <row r="7" spans="1:15" ht="13.5" thickBot="1">
      <c r="A7" s="545" t="s">
        <v>56</v>
      </c>
      <c r="B7" s="545"/>
      <c r="C7" s="545"/>
      <c r="D7" s="545"/>
      <c r="E7" s="545">
        <v>14.05</v>
      </c>
      <c r="F7" s="545"/>
      <c r="I7" s="335"/>
      <c r="J7" s="335"/>
      <c r="K7" s="335"/>
      <c r="L7" s="335"/>
      <c r="M7" s="335"/>
      <c r="N7" s="335"/>
      <c r="O7" s="253"/>
    </row>
    <row r="8" spans="1:16" ht="12.75" customHeight="1">
      <c r="A8" s="458" t="s">
        <v>57</v>
      </c>
      <c r="B8" s="461" t="s">
        <v>0</v>
      </c>
      <c r="C8" s="534" t="s">
        <v>126</v>
      </c>
      <c r="D8" s="537" t="s">
        <v>121</v>
      </c>
      <c r="E8" s="540" t="s">
        <v>59</v>
      </c>
      <c r="F8" s="389"/>
      <c r="G8" s="453" t="s">
        <v>122</v>
      </c>
      <c r="H8" s="454"/>
      <c r="I8" s="521" t="s">
        <v>8</v>
      </c>
      <c r="J8" s="522"/>
      <c r="K8" s="522"/>
      <c r="L8" s="522"/>
      <c r="M8" s="522"/>
      <c r="N8" s="525" t="s">
        <v>60</v>
      </c>
      <c r="O8" s="525" t="s">
        <v>10</v>
      </c>
      <c r="P8" s="336"/>
    </row>
    <row r="9" spans="1:17" ht="12.75" customHeight="1">
      <c r="A9" s="459"/>
      <c r="B9" s="462"/>
      <c r="C9" s="535"/>
      <c r="D9" s="538"/>
      <c r="E9" s="541"/>
      <c r="F9" s="542"/>
      <c r="G9" s="455"/>
      <c r="H9" s="456"/>
      <c r="I9" s="523"/>
      <c r="J9" s="524"/>
      <c r="K9" s="524"/>
      <c r="L9" s="524"/>
      <c r="M9" s="524"/>
      <c r="N9" s="526"/>
      <c r="O9" s="526"/>
      <c r="P9" s="336"/>
      <c r="Q9" s="253"/>
    </row>
    <row r="10" spans="1:15" ht="26.25" customHeight="1">
      <c r="A10" s="459"/>
      <c r="B10" s="462"/>
      <c r="C10" s="535"/>
      <c r="D10" s="538"/>
      <c r="E10" s="528" t="s">
        <v>61</v>
      </c>
      <c r="F10" s="409"/>
      <c r="G10" s="123" t="s">
        <v>62</v>
      </c>
      <c r="H10" s="529" t="s">
        <v>5</v>
      </c>
      <c r="I10" s="531" t="s">
        <v>63</v>
      </c>
      <c r="J10" s="443" t="s">
        <v>123</v>
      </c>
      <c r="K10" s="443" t="s">
        <v>64</v>
      </c>
      <c r="L10" s="443" t="s">
        <v>35</v>
      </c>
      <c r="M10" s="530" t="s">
        <v>37</v>
      </c>
      <c r="N10" s="526"/>
      <c r="O10" s="526"/>
    </row>
    <row r="11" spans="1:15" ht="66.75" customHeight="1" thickBot="1">
      <c r="A11" s="460"/>
      <c r="B11" s="463"/>
      <c r="C11" s="536"/>
      <c r="D11" s="539"/>
      <c r="E11" s="337" t="s">
        <v>66</v>
      </c>
      <c r="F11" s="338" t="s">
        <v>19</v>
      </c>
      <c r="G11" s="96" t="s">
        <v>124</v>
      </c>
      <c r="H11" s="530"/>
      <c r="I11" s="532"/>
      <c r="J11" s="444"/>
      <c r="K11" s="444"/>
      <c r="L11" s="444"/>
      <c r="M11" s="533"/>
      <c r="N11" s="527"/>
      <c r="O11" s="527"/>
    </row>
    <row r="12" spans="1:15" ht="13.5" thickBot="1">
      <c r="A12" s="33">
        <v>1</v>
      </c>
      <c r="B12" s="34">
        <v>2</v>
      </c>
      <c r="C12" s="33">
        <v>3</v>
      </c>
      <c r="D12" s="34">
        <v>4</v>
      </c>
      <c r="E12" s="33">
        <v>5</v>
      </c>
      <c r="F12" s="34">
        <v>6</v>
      </c>
      <c r="G12" s="34">
        <v>7</v>
      </c>
      <c r="H12" s="33">
        <v>8</v>
      </c>
      <c r="I12" s="33">
        <v>9</v>
      </c>
      <c r="J12" s="34">
        <v>10</v>
      </c>
      <c r="K12" s="554">
        <v>11</v>
      </c>
      <c r="L12" s="38">
        <v>12</v>
      </c>
      <c r="M12" s="554">
        <v>13</v>
      </c>
      <c r="N12" s="38">
        <v>14</v>
      </c>
      <c r="O12" s="37">
        <v>15</v>
      </c>
    </row>
    <row r="13" spans="1:15" ht="13.5" hidden="1" thickBot="1">
      <c r="A13" s="516" t="s">
        <v>96</v>
      </c>
      <c r="B13" s="517"/>
      <c r="C13" s="517"/>
      <c r="D13" s="517"/>
      <c r="E13" s="517"/>
      <c r="F13" s="517"/>
      <c r="G13" s="517"/>
      <c r="H13" s="517"/>
      <c r="I13" s="517"/>
      <c r="J13" s="517"/>
      <c r="K13" s="517"/>
      <c r="L13" s="517"/>
      <c r="M13" s="517"/>
      <c r="N13" s="339"/>
      <c r="O13" s="339"/>
    </row>
    <row r="14" spans="1:17" s="24" customFormat="1" ht="13.5" hidden="1" thickBot="1">
      <c r="A14" s="58" t="s">
        <v>52</v>
      </c>
      <c r="B14" s="59"/>
      <c r="C14" s="60">
        <f>'2012 полн'!C8</f>
        <v>147547.375</v>
      </c>
      <c r="D14" s="60">
        <f>'2012 полн'!D8</f>
        <v>76266.48957255002</v>
      </c>
      <c r="E14" s="60">
        <f>'2012 полн'!U8</f>
        <v>57406.41</v>
      </c>
      <c r="F14" s="60">
        <f>'2012 полн'!V8</f>
        <v>7989.57</v>
      </c>
      <c r="G14" s="60">
        <f>'2012 полн'!AF8</f>
        <v>49413.81</v>
      </c>
      <c r="H14" s="60">
        <f>'2012 полн'!AG8</f>
        <v>133669.86957255003</v>
      </c>
      <c r="I14" s="60">
        <f>'2012 полн'!AK8</f>
        <v>10082.892</v>
      </c>
      <c r="J14" s="60">
        <f>'2012 полн'!AL8</f>
        <v>3378.5960104</v>
      </c>
      <c r="K14" s="60">
        <f>'2012 полн'!AM8+'2012 полн'!AN8+'2012 полн'!AO8+'2012 полн'!AP8+'2012 полн'!AQ8+'2012 полн'!AR8+'2012 полн'!AS8+'2012 полн'!AT8+'2012 полн'!AX8+'2012 полн'!AY8+7060.88</f>
        <v>81433.7601771078</v>
      </c>
      <c r="L14" s="60">
        <f>'2012 полн'!AU8+'2012 полн'!AV8+'2012 полн'!AW8</f>
        <v>32688.3838</v>
      </c>
      <c r="M14" s="60">
        <f>SUM(I14:L14)</f>
        <v>127583.6319875078</v>
      </c>
      <c r="N14" s="60">
        <f>H14-M14</f>
        <v>6086.237585042225</v>
      </c>
      <c r="O14" s="60">
        <f>'2012 полн'!BG8</f>
        <v>-7992.599999999996</v>
      </c>
      <c r="P14" s="63"/>
      <c r="Q14" s="53"/>
    </row>
    <row r="15" spans="1:17" ht="12.75" hidden="1">
      <c r="A15" s="8" t="s">
        <v>119</v>
      </c>
      <c r="B15" s="340"/>
      <c r="C15" s="341"/>
      <c r="D15" s="342"/>
      <c r="E15" s="343"/>
      <c r="F15" s="344"/>
      <c r="G15" s="345"/>
      <c r="H15" s="344"/>
      <c r="I15" s="345"/>
      <c r="J15" s="346"/>
      <c r="K15" s="346"/>
      <c r="L15" s="347"/>
      <c r="M15" s="348"/>
      <c r="N15" s="349"/>
      <c r="O15" s="349"/>
      <c r="P15" s="253"/>
      <c r="Q15" s="253"/>
    </row>
    <row r="16" spans="1:17" ht="12.75" hidden="1">
      <c r="A16" s="264" t="s">
        <v>43</v>
      </c>
      <c r="B16" s="350">
        <f>'2012 полн'!B10</f>
        <v>631.9</v>
      </c>
      <c r="C16" s="351">
        <f>'2012 полн'!C10</f>
        <v>2701.3724999999995</v>
      </c>
      <c r="D16" s="352">
        <f>'2012 полн'!D10</f>
        <v>216.342</v>
      </c>
      <c r="E16" s="346">
        <f>'2012 полн'!U10</f>
        <v>4373.23</v>
      </c>
      <c r="F16" s="346">
        <f>'2012 полн'!V10</f>
        <v>0</v>
      </c>
      <c r="G16" s="353">
        <f>'2012 полн'!AF10</f>
        <v>2044.35</v>
      </c>
      <c r="H16" s="353">
        <f>'2012 полн'!AG10</f>
        <v>2260.692</v>
      </c>
      <c r="I16" s="346">
        <f>'2012 полн'!AK10</f>
        <v>423.373</v>
      </c>
      <c r="J16" s="346">
        <f>'2012 полн'!AL10</f>
        <v>126.38</v>
      </c>
      <c r="K16" s="346">
        <f>'2012 полн'!AM10+'2012 полн'!AN10+'2012 полн'!AO10+'2012 полн'!AP10+'2012 полн'!AQ10+'2012 полн'!AR10+'2012 полн'!AS10+'2012 полн'!AX10</f>
        <v>4366.429</v>
      </c>
      <c r="L16" s="347">
        <f>'2012 полн'!AU10+'2012 полн'!AV10+'2012 полн'!AW10</f>
        <v>0</v>
      </c>
      <c r="M16" s="348">
        <f>SUM(I16:L16)</f>
        <v>4916.182</v>
      </c>
      <c r="N16" s="349">
        <f>H16-M16</f>
        <v>-2655.49</v>
      </c>
      <c r="O16" s="349">
        <f>'2012 полн'!BG10</f>
        <v>-2328.8799999999997</v>
      </c>
      <c r="P16" s="253"/>
      <c r="Q16" s="253"/>
    </row>
    <row r="17" spans="1:17" ht="12.75" hidden="1">
      <c r="A17" s="264" t="s">
        <v>44</v>
      </c>
      <c r="B17" s="350">
        <f>'2012 полн'!B11</f>
        <v>631.9</v>
      </c>
      <c r="C17" s="351">
        <f>'2012 полн'!C11</f>
        <v>2701.3724999999995</v>
      </c>
      <c r="D17" s="352">
        <f>'2012 полн'!D11</f>
        <v>216.342</v>
      </c>
      <c r="E17" s="346">
        <f>'2012 полн'!U11</f>
        <v>1077.55</v>
      </c>
      <c r="F17" s="346">
        <f>'2012 полн'!V11</f>
        <v>0</v>
      </c>
      <c r="G17" s="353">
        <f>'2012 полн'!AF11</f>
        <v>2927.17</v>
      </c>
      <c r="H17" s="353">
        <f>'2012 полн'!AG11</f>
        <v>3143.512</v>
      </c>
      <c r="I17" s="346">
        <f>'2012 полн'!AK11</f>
        <v>423.373</v>
      </c>
      <c r="J17" s="346">
        <f>'2012 полн'!AL11</f>
        <v>126.38</v>
      </c>
      <c r="K17" s="346">
        <f>'2012 полн'!AM11+'2012 полн'!AN11+'2012 полн'!AO11+'2012 полн'!AP11+'2012 полн'!AQ11+'2012 полн'!AR11+'2012 полн'!AS11+'2012 полн'!AX11</f>
        <v>4388.9890000000005</v>
      </c>
      <c r="L17" s="347">
        <f>'2012 полн'!AU11+'2012 полн'!AV11+'2012 полн'!AW11</f>
        <v>0</v>
      </c>
      <c r="M17" s="348">
        <f aca="true" t="shared" si="0" ref="M17:M27">SUM(I17:L17)</f>
        <v>4938.742</v>
      </c>
      <c r="N17" s="349">
        <f aca="true" t="shared" si="1" ref="N17:N27">H17-M17</f>
        <v>-1795.23</v>
      </c>
      <c r="O17" s="349">
        <f>'2012 полн'!BG11</f>
        <v>1849.6200000000001</v>
      </c>
      <c r="P17" s="253"/>
      <c r="Q17" s="253"/>
    </row>
    <row r="18" spans="1:17" ht="12.75" hidden="1">
      <c r="A18" s="264" t="s">
        <v>45</v>
      </c>
      <c r="B18" s="350">
        <f>'2012 полн'!B12</f>
        <v>631.9</v>
      </c>
      <c r="C18" s="351">
        <f>'2012 полн'!C12</f>
        <v>2701.3724999999995</v>
      </c>
      <c r="D18" s="352">
        <f>'2012 полн'!D12</f>
        <v>216.342</v>
      </c>
      <c r="E18" s="346">
        <f>'2012 полн'!U12</f>
        <v>2725.39</v>
      </c>
      <c r="F18" s="346">
        <f>'2012 полн'!V12</f>
        <v>0</v>
      </c>
      <c r="G18" s="353">
        <f>'2012 полн'!AF12</f>
        <v>3404.3</v>
      </c>
      <c r="H18" s="353">
        <f>'2012 полн'!AG12</f>
        <v>3620.6420000000003</v>
      </c>
      <c r="I18" s="346">
        <f>'2012 полн'!AK12</f>
        <v>423.373</v>
      </c>
      <c r="J18" s="346">
        <f>'2012 полн'!AL12</f>
        <v>126.38</v>
      </c>
      <c r="K18" s="346">
        <f>'2012 полн'!AM12+'2012 полн'!AN12+'2012 полн'!AO12+'2012 полн'!AP12+'2012 полн'!AQ12+'2012 полн'!AR12+'2012 полн'!AS12+'2012 полн'!AX12</f>
        <v>4366.429</v>
      </c>
      <c r="L18" s="347">
        <f>'2012 полн'!AU12+'2012 полн'!AV12+'2012 полн'!AW12</f>
        <v>0</v>
      </c>
      <c r="M18" s="348">
        <f t="shared" si="0"/>
        <v>4916.182</v>
      </c>
      <c r="N18" s="349">
        <f t="shared" si="1"/>
        <v>-1295.5399999999995</v>
      </c>
      <c r="O18" s="349">
        <f>'2012 полн'!BG12</f>
        <v>678.9100000000003</v>
      </c>
      <c r="P18" s="253"/>
      <c r="Q18" s="253"/>
    </row>
    <row r="19" spans="1:17" ht="12.75" hidden="1">
      <c r="A19" s="264" t="s">
        <v>46</v>
      </c>
      <c r="B19" s="350">
        <f>'2012 полн'!B13</f>
        <v>631.9</v>
      </c>
      <c r="C19" s="351">
        <f>'2012 полн'!C13</f>
        <v>2701.3724999999995</v>
      </c>
      <c r="D19" s="352">
        <f>'2012 полн'!D13</f>
        <v>216.342</v>
      </c>
      <c r="E19" s="346">
        <f>'2012 полн'!U13</f>
        <v>2725.39</v>
      </c>
      <c r="F19" s="346">
        <f>'2012 полн'!V13</f>
        <v>0</v>
      </c>
      <c r="G19" s="353">
        <f>'2012 полн'!AF13</f>
        <v>2402.26</v>
      </c>
      <c r="H19" s="353">
        <f>'2012 полн'!AG13</f>
        <v>2618.6020000000003</v>
      </c>
      <c r="I19" s="346">
        <f>'2012 полн'!AK13</f>
        <v>423.373</v>
      </c>
      <c r="J19" s="346">
        <f>'2012 полн'!AL13</f>
        <v>126.38</v>
      </c>
      <c r="K19" s="346">
        <f>'2012 полн'!AM13+'2012 полн'!AN13+'2012 полн'!AO13+'2012 полн'!AP13+'2012 полн'!AQ13+'2012 полн'!AR13+'2012 полн'!AS13+'2012 полн'!AX13</f>
        <v>4394.744</v>
      </c>
      <c r="L19" s="347">
        <f>'2012 полн'!AU13+'2012 полн'!AV13+'2012 полн'!AW13</f>
        <v>0</v>
      </c>
      <c r="M19" s="348">
        <f t="shared" si="0"/>
        <v>4944.496999999999</v>
      </c>
      <c r="N19" s="349">
        <f t="shared" si="1"/>
        <v>-2325.894999999999</v>
      </c>
      <c r="O19" s="349">
        <f>'2012 полн'!BG13</f>
        <v>-323.12999999999965</v>
      </c>
      <c r="P19" s="253"/>
      <c r="Q19" s="253"/>
    </row>
    <row r="20" spans="1:17" ht="12.75" hidden="1">
      <c r="A20" s="264" t="s">
        <v>47</v>
      </c>
      <c r="B20" s="350">
        <f>'2012 полн'!B14</f>
        <v>631.9</v>
      </c>
      <c r="C20" s="351">
        <f>'2012 полн'!C14</f>
        <v>5402.744999999999</v>
      </c>
      <c r="D20" s="352">
        <f>'2012 полн'!D14</f>
        <v>216.342</v>
      </c>
      <c r="E20" s="346">
        <f>'2012 полн'!U14</f>
        <v>5450.71</v>
      </c>
      <c r="F20" s="346">
        <f>'2012 полн'!V14</f>
        <v>0</v>
      </c>
      <c r="G20" s="353">
        <f>'2012 полн'!AF14</f>
        <v>2730.9</v>
      </c>
      <c r="H20" s="353">
        <f>'2012 полн'!AG14</f>
        <v>2947.242</v>
      </c>
      <c r="I20" s="346">
        <f>'2012 полн'!AK14</f>
        <v>423.373</v>
      </c>
      <c r="J20" s="346">
        <f>'2012 полн'!AL14</f>
        <v>126.38</v>
      </c>
      <c r="K20" s="346">
        <f>'2012 полн'!AM14+'2012 полн'!AN14+'2012 полн'!AO14+'2012 полн'!AP14+'2012 полн'!AQ14+'2012 полн'!AR14+'2012 полн'!AS14+'2012 полн'!AX14</f>
        <v>3760.7439999999997</v>
      </c>
      <c r="L20" s="347">
        <f>'2012 полн'!AU14+'2012 полн'!AV14+'2012 полн'!AW14</f>
        <v>910</v>
      </c>
      <c r="M20" s="348">
        <f t="shared" si="0"/>
        <v>5220.496999999999</v>
      </c>
      <c r="N20" s="349">
        <f t="shared" si="1"/>
        <v>-2273.254999999999</v>
      </c>
      <c r="O20" s="349">
        <f>'2012 полн'!BG14</f>
        <v>-2719.81</v>
      </c>
      <c r="P20" s="253"/>
      <c r="Q20" s="253"/>
    </row>
    <row r="21" spans="1:17" ht="12.75" hidden="1">
      <c r="A21" s="264" t="s">
        <v>48</v>
      </c>
      <c r="B21" s="350">
        <f>'2012 полн'!B15</f>
        <v>631.9</v>
      </c>
      <c r="C21" s="351">
        <f>'2012 полн'!C15</f>
        <v>5402.744999999999</v>
      </c>
      <c r="D21" s="352">
        <f>'2012 полн'!D15</f>
        <v>216.342</v>
      </c>
      <c r="E21" s="346">
        <f>'2012 полн'!U15</f>
        <v>5450.71</v>
      </c>
      <c r="F21" s="346">
        <f>'2012 полн'!V15</f>
        <v>0</v>
      </c>
      <c r="G21" s="353">
        <f>'2012 полн'!AF15</f>
        <v>4937.48</v>
      </c>
      <c r="H21" s="353">
        <f>'2012 полн'!AG15</f>
        <v>5153.821999999999</v>
      </c>
      <c r="I21" s="346">
        <f>'2012 полн'!AK15</f>
        <v>423.373</v>
      </c>
      <c r="J21" s="346">
        <f>'2012 полн'!AL15</f>
        <v>126.38</v>
      </c>
      <c r="K21" s="346">
        <f>'2012 полн'!AM15+'2012 полн'!AN15+'2012 полн'!AO15+'2012 полн'!AP15+'2012 полн'!AQ15+'2012 полн'!AR15+'2012 полн'!AS15+'2012 полн'!AX15</f>
        <v>3921.7439999999997</v>
      </c>
      <c r="L21" s="347">
        <f>'2012 полн'!AU15+'2012 полн'!AV15+'2012 полн'!AW15</f>
        <v>1724</v>
      </c>
      <c r="M21" s="348">
        <f t="shared" si="0"/>
        <v>6195.496999999999</v>
      </c>
      <c r="N21" s="349">
        <f t="shared" si="1"/>
        <v>-1041.6750000000002</v>
      </c>
      <c r="O21" s="349">
        <f>'2012 полн'!BG15</f>
        <v>-513.2300000000005</v>
      </c>
      <c r="P21" s="253"/>
      <c r="Q21" s="253"/>
    </row>
    <row r="22" spans="1:17" ht="12.75" hidden="1">
      <c r="A22" s="264" t="s">
        <v>49</v>
      </c>
      <c r="B22" s="350">
        <f>'2012 полн'!B16</f>
        <v>631.9</v>
      </c>
      <c r="C22" s="351">
        <f>'2012 полн'!C16</f>
        <v>8878.195</v>
      </c>
      <c r="D22" s="352">
        <f>'2012 полн'!D16</f>
        <v>216.342</v>
      </c>
      <c r="E22" s="346">
        <f>'2012 полн'!U16</f>
        <v>5450.71</v>
      </c>
      <c r="F22" s="346">
        <f>'2012 полн'!V16</f>
        <v>0</v>
      </c>
      <c r="G22" s="353">
        <f>'2012 полн'!AF16</f>
        <v>3255.96</v>
      </c>
      <c r="H22" s="353">
        <f>'2012 полн'!AG16</f>
        <v>3472.302</v>
      </c>
      <c r="I22" s="346">
        <f>'2012 полн'!AK16</f>
        <v>423.373</v>
      </c>
      <c r="J22" s="346">
        <f>'2012 полн'!AL16</f>
        <v>126.38</v>
      </c>
      <c r="K22" s="346">
        <f>'2012 полн'!AM16+'2012 полн'!AN16+'2012 полн'!AO16+'2012 полн'!AP16+'2012 полн'!AQ16+'2012 полн'!AR16+'2012 полн'!AS16+'2012 полн'!AX16</f>
        <v>3760.604</v>
      </c>
      <c r="L22" s="347">
        <f>'2012 полн'!AU16+'2012 полн'!AV16+'2012 полн'!AW16</f>
        <v>0</v>
      </c>
      <c r="M22" s="348">
        <f t="shared" si="0"/>
        <v>4310.357</v>
      </c>
      <c r="N22" s="349">
        <f t="shared" si="1"/>
        <v>-838.0549999999998</v>
      </c>
      <c r="O22" s="349">
        <f>'2012 полн'!BG16</f>
        <v>-2194.75</v>
      </c>
      <c r="P22" s="253"/>
      <c r="Q22" s="253"/>
    </row>
    <row r="23" spans="1:17" ht="12.75" hidden="1">
      <c r="A23" s="264" t="s">
        <v>50</v>
      </c>
      <c r="B23" s="350">
        <f>'2012 полн'!B17</f>
        <v>631.9</v>
      </c>
      <c r="C23" s="351">
        <f>'2012 полн'!C17</f>
        <v>8878.195</v>
      </c>
      <c r="D23" s="352">
        <f>'2012 полн'!D17</f>
        <v>216.342</v>
      </c>
      <c r="E23" s="346">
        <f>'2012 полн'!U17</f>
        <v>5470.950000000001</v>
      </c>
      <c r="F23" s="346">
        <f>'2012 полн'!V17</f>
        <v>0</v>
      </c>
      <c r="G23" s="353">
        <f>'2012 полн'!AF17</f>
        <v>4931.42</v>
      </c>
      <c r="H23" s="353">
        <f>'2012 полн'!AG17</f>
        <v>5147.762</v>
      </c>
      <c r="I23" s="346">
        <f>'2012 полн'!AK17</f>
        <v>423.373</v>
      </c>
      <c r="J23" s="346">
        <f>'2012 полн'!AL17</f>
        <v>126.38</v>
      </c>
      <c r="K23" s="346">
        <f>'2012 полн'!AM17+'2012 полн'!AN17+'2012 полн'!AO17+'2012 полн'!AP17+'2012 полн'!AQ17+'2012 полн'!AR17+'2012 полн'!AS17+'2012 полн'!AX17</f>
        <v>3639.7439999999997</v>
      </c>
      <c r="L23" s="347">
        <f>'2012 полн'!AU17+'2012 полн'!AV17+'2012 полн'!AW17</f>
        <v>0</v>
      </c>
      <c r="M23" s="348">
        <f t="shared" si="0"/>
        <v>4189.496999999999</v>
      </c>
      <c r="N23" s="349">
        <f t="shared" si="1"/>
        <v>958.2650000000003</v>
      </c>
      <c r="O23" s="349">
        <f>'2012 полн'!BG17</f>
        <v>-539.5300000000007</v>
      </c>
      <c r="P23" s="253"/>
      <c r="Q23" s="253"/>
    </row>
    <row r="24" spans="1:17" ht="12.75" hidden="1">
      <c r="A24" s="264" t="s">
        <v>51</v>
      </c>
      <c r="B24" s="350">
        <f>'2012 полн'!B18</f>
        <v>631.9</v>
      </c>
      <c r="C24" s="351">
        <f>'2012 полн'!C18</f>
        <v>8878.195</v>
      </c>
      <c r="D24" s="352">
        <f>'2012 полн'!D18</f>
        <v>216.342</v>
      </c>
      <c r="E24" s="346">
        <f>'2012 полн'!U18</f>
        <v>8878.22</v>
      </c>
      <c r="F24" s="346">
        <f>'2012 полн'!V18</f>
        <v>0</v>
      </c>
      <c r="G24" s="353">
        <f>'2012 полн'!AF18</f>
        <v>4397.19</v>
      </c>
      <c r="H24" s="353">
        <f>'2012 полн'!AG18</f>
        <v>4613.531999999999</v>
      </c>
      <c r="I24" s="346">
        <f>'2012 полн'!AK18</f>
        <v>423.373</v>
      </c>
      <c r="J24" s="346">
        <f>'2012 полн'!AL18</f>
        <v>126.38</v>
      </c>
      <c r="K24" s="346">
        <f>'2012 полн'!AM18+'2012 полн'!AN18+'2012 полн'!AO18+'2012 полн'!AP18+'2012 полн'!AQ18+'2012 полн'!AR18+'2012 полн'!AS18+'2012 полн'!AX18</f>
        <v>3639.7439999999997</v>
      </c>
      <c r="L24" s="347">
        <f>'2012 полн'!AU18+'2012 полн'!AV18+'2012 полн'!AW18</f>
        <v>0</v>
      </c>
      <c r="M24" s="348">
        <f t="shared" si="0"/>
        <v>4189.496999999999</v>
      </c>
      <c r="N24" s="349">
        <f t="shared" si="1"/>
        <v>424.03499999999985</v>
      </c>
      <c r="O24" s="349">
        <f>'2012 полн'!BG18</f>
        <v>-4481.03</v>
      </c>
      <c r="P24" s="253"/>
      <c r="Q24" s="253"/>
    </row>
    <row r="25" spans="1:17" ht="12.75" hidden="1">
      <c r="A25" s="264" t="s">
        <v>39</v>
      </c>
      <c r="B25" s="350">
        <f>'2012 полн'!B19</f>
        <v>631.9</v>
      </c>
      <c r="C25" s="351">
        <f>'2012 полн'!C19</f>
        <v>8878.195</v>
      </c>
      <c r="D25" s="352">
        <f>'2012 полн'!D19</f>
        <v>216.342</v>
      </c>
      <c r="E25" s="346">
        <f>'2012 полн'!U19</f>
        <v>8878.23</v>
      </c>
      <c r="F25" s="346">
        <f>'2012 полн'!V19</f>
        <v>0</v>
      </c>
      <c r="G25" s="353">
        <f>'2012 полн'!AF19</f>
        <v>7012.55</v>
      </c>
      <c r="H25" s="353">
        <f>'2012 полн'!AG19</f>
        <v>7228.892</v>
      </c>
      <c r="I25" s="346">
        <f>'2012 полн'!AK19</f>
        <v>423.373</v>
      </c>
      <c r="J25" s="346">
        <f>'2012 полн'!AL19</f>
        <v>126.38</v>
      </c>
      <c r="K25" s="346">
        <f>'2012 полн'!AM19+'2012 полн'!AN19+'2012 полн'!AO19+'2012 полн'!AP19+'2012 полн'!AQ19+'2012 полн'!AR19+'2012 полн'!AS19+'2012 полн'!AX19</f>
        <v>4366.429</v>
      </c>
      <c r="L25" s="347">
        <f>'2012 полн'!AU19+'2012 полн'!AV19+'2012 полн'!AW19</f>
        <v>0</v>
      </c>
      <c r="M25" s="348">
        <f t="shared" si="0"/>
        <v>4916.182</v>
      </c>
      <c r="N25" s="349">
        <f t="shared" si="1"/>
        <v>2312.71</v>
      </c>
      <c r="O25" s="349">
        <f>'2012 полн'!BG19</f>
        <v>-1865.6799999999994</v>
      </c>
      <c r="P25" s="253"/>
      <c r="Q25" s="253"/>
    </row>
    <row r="26" spans="1:17" ht="12.75" hidden="1">
      <c r="A26" s="264" t="s">
        <v>40</v>
      </c>
      <c r="B26" s="350">
        <f>'2012 полн'!B20</f>
        <v>631.9</v>
      </c>
      <c r="C26" s="351">
        <f>'2012 полн'!C20</f>
        <v>8878.195</v>
      </c>
      <c r="D26" s="352">
        <f>'2012 полн'!D20</f>
        <v>216.342</v>
      </c>
      <c r="E26" s="346">
        <f>'2012 полн'!U20</f>
        <v>8878.23</v>
      </c>
      <c r="F26" s="346">
        <f>'2012 полн'!V20</f>
        <v>0</v>
      </c>
      <c r="G26" s="353">
        <f>'2012 полн'!AF20</f>
        <v>8267.2</v>
      </c>
      <c r="H26" s="353">
        <f>'2012 полн'!AG20</f>
        <v>8483.542000000001</v>
      </c>
      <c r="I26" s="346">
        <f>'2012 полн'!AK20</f>
        <v>423.373</v>
      </c>
      <c r="J26" s="346">
        <f>'2012 полн'!AL20</f>
        <v>126.38</v>
      </c>
      <c r="K26" s="346">
        <f>'2012 полн'!AM20+'2012 полн'!AN20+'2012 полн'!AO20+'2012 полн'!AP20+'2012 полн'!AQ20+'2012 полн'!AR20+'2012 полн'!AS20+'2012 полн'!AX20</f>
        <v>4366.429</v>
      </c>
      <c r="L26" s="347">
        <f>'2012 полн'!AU20+'2012 полн'!AV20+'2012 полн'!AW20</f>
        <v>0</v>
      </c>
      <c r="M26" s="348">
        <f t="shared" si="0"/>
        <v>4916.182</v>
      </c>
      <c r="N26" s="349">
        <f t="shared" si="1"/>
        <v>3567.3600000000015</v>
      </c>
      <c r="O26" s="349">
        <f>'2012 полн'!BG20</f>
        <v>-611.0299999999988</v>
      </c>
      <c r="P26" s="253"/>
      <c r="Q26" s="253"/>
    </row>
    <row r="27" spans="1:17" ht="13.5" hidden="1" thickBot="1">
      <c r="A27" s="264" t="s">
        <v>41</v>
      </c>
      <c r="B27" s="350">
        <f>'2012 полн'!B21</f>
        <v>631.9</v>
      </c>
      <c r="C27" s="351">
        <f>'2012 полн'!C21</f>
        <v>8878.195</v>
      </c>
      <c r="D27" s="352">
        <f>'2012 полн'!D21</f>
        <v>216.342</v>
      </c>
      <c r="E27" s="346">
        <f>'2012 полн'!U21</f>
        <v>7724.400000000001</v>
      </c>
      <c r="F27" s="346">
        <f>'2012 полн'!V21</f>
        <v>0</v>
      </c>
      <c r="G27" s="353">
        <f>'2012 полн'!AF21</f>
        <v>8134.4400000000005</v>
      </c>
      <c r="H27" s="353">
        <f>'2012 полн'!AG21</f>
        <v>8350.782000000001</v>
      </c>
      <c r="I27" s="346">
        <f>'2012 полн'!AK21</f>
        <v>423.373</v>
      </c>
      <c r="J27" s="346">
        <f>'2012 полн'!AL21</f>
        <v>126.38</v>
      </c>
      <c r="K27" s="346">
        <f>'2012 полн'!AM21+'2012 полн'!AN21+'2012 полн'!AO21+'2012 полн'!AP21+'2012 полн'!AQ21+'2012 полн'!AR21+'2012 полн'!AS21+'2012 полн'!AX21</f>
        <v>4443.429</v>
      </c>
      <c r="L27" s="347">
        <f>'2012 полн'!AU21+'2012 полн'!AV21+'2012 полн'!AW21</f>
        <v>483</v>
      </c>
      <c r="M27" s="348">
        <f t="shared" si="0"/>
        <v>5476.182</v>
      </c>
      <c r="N27" s="349">
        <f t="shared" si="1"/>
        <v>2874.6000000000013</v>
      </c>
      <c r="O27" s="349">
        <f>'2012 полн'!BG21</f>
        <v>410.03999999999996</v>
      </c>
      <c r="P27" s="253"/>
      <c r="Q27" s="253"/>
    </row>
    <row r="28" spans="1:17" s="24" customFormat="1" ht="13.5" hidden="1" thickBot="1">
      <c r="A28" s="45" t="s">
        <v>3</v>
      </c>
      <c r="B28" s="46"/>
      <c r="C28" s="51">
        <f aca="true" t="shared" si="2" ref="C28:M28">SUM(C16:C27)</f>
        <v>74880.15</v>
      </c>
      <c r="D28" s="51">
        <f t="shared" si="2"/>
        <v>2596.1040000000007</v>
      </c>
      <c r="E28" s="51">
        <f t="shared" si="2"/>
        <v>67083.71999999999</v>
      </c>
      <c r="F28" s="51">
        <f t="shared" si="2"/>
        <v>0</v>
      </c>
      <c r="G28" s="51">
        <f t="shared" si="2"/>
        <v>54445.22</v>
      </c>
      <c r="H28" s="51">
        <f t="shared" si="2"/>
        <v>57041.32399999999</v>
      </c>
      <c r="I28" s="51">
        <f t="shared" si="2"/>
        <v>5080.475999999999</v>
      </c>
      <c r="J28" s="51">
        <f t="shared" si="2"/>
        <v>1516.5600000000004</v>
      </c>
      <c r="K28" s="51">
        <f t="shared" si="2"/>
        <v>49415.458</v>
      </c>
      <c r="L28" s="51">
        <f t="shared" si="2"/>
        <v>3117</v>
      </c>
      <c r="M28" s="51">
        <f t="shared" si="2"/>
        <v>59129.494000000006</v>
      </c>
      <c r="N28" s="51">
        <f>SUM(N16:N27)</f>
        <v>-2088.1699999999946</v>
      </c>
      <c r="O28" s="51">
        <f>SUM(O16:O27)</f>
        <v>-12638.499999999996</v>
      </c>
      <c r="P28" s="53"/>
      <c r="Q28" s="53"/>
    </row>
    <row r="29" spans="1:16" ht="13.5" thickBot="1">
      <c r="A29" s="516" t="s">
        <v>67</v>
      </c>
      <c r="B29" s="517"/>
      <c r="C29" s="517"/>
      <c r="D29" s="517"/>
      <c r="E29" s="517"/>
      <c r="F29" s="517"/>
      <c r="G29" s="517"/>
      <c r="H29" s="517"/>
      <c r="I29" s="517"/>
      <c r="J29" s="517"/>
      <c r="K29" s="517"/>
      <c r="L29" s="517"/>
      <c r="M29" s="517"/>
      <c r="N29" s="354"/>
      <c r="O29" s="339"/>
      <c r="P29" s="355"/>
    </row>
    <row r="30" spans="1:17" s="24" customFormat="1" ht="13.5" thickBot="1">
      <c r="A30" s="58" t="s">
        <v>52</v>
      </c>
      <c r="B30" s="59"/>
      <c r="C30" s="60">
        <f aca="true" t="shared" si="3" ref="C30:O30">C28+C14</f>
        <v>222427.525</v>
      </c>
      <c r="D30" s="60">
        <f t="shared" si="3"/>
        <v>78862.59357255003</v>
      </c>
      <c r="E30" s="60">
        <f t="shared" si="3"/>
        <v>124490.12999999999</v>
      </c>
      <c r="F30" s="60">
        <f t="shared" si="3"/>
        <v>7989.57</v>
      </c>
      <c r="G30" s="60">
        <f t="shared" si="3"/>
        <v>103859.03</v>
      </c>
      <c r="H30" s="60">
        <f t="shared" si="3"/>
        <v>190711.19357255002</v>
      </c>
      <c r="I30" s="60">
        <f t="shared" si="3"/>
        <v>15163.367999999999</v>
      </c>
      <c r="J30" s="60">
        <f t="shared" si="3"/>
        <v>4895.1560104</v>
      </c>
      <c r="K30" s="60">
        <f t="shared" si="3"/>
        <v>130849.2181771078</v>
      </c>
      <c r="L30" s="60">
        <f t="shared" si="3"/>
        <v>35805.383799999996</v>
      </c>
      <c r="M30" s="60">
        <f t="shared" si="3"/>
        <v>186713.1259875078</v>
      </c>
      <c r="N30" s="60">
        <f t="shared" si="3"/>
        <v>3998.0675850422303</v>
      </c>
      <c r="O30" s="60">
        <f t="shared" si="3"/>
        <v>-20631.09999999999</v>
      </c>
      <c r="P30" s="275"/>
      <c r="Q30" s="53"/>
    </row>
    <row r="31" spans="1:17" ht="12.75">
      <c r="A31" s="8" t="s">
        <v>128</v>
      </c>
      <c r="B31" s="340"/>
      <c r="C31" s="341"/>
      <c r="D31" s="342"/>
      <c r="E31" s="343"/>
      <c r="F31" s="344"/>
      <c r="G31" s="345"/>
      <c r="H31" s="344"/>
      <c r="I31" s="345"/>
      <c r="J31" s="346"/>
      <c r="K31" s="346"/>
      <c r="L31" s="347"/>
      <c r="M31" s="348"/>
      <c r="N31" s="349"/>
      <c r="O31" s="349"/>
      <c r="P31" s="253"/>
      <c r="Q31" s="253"/>
    </row>
    <row r="32" spans="1:17" ht="12.75">
      <c r="A32" s="264" t="s">
        <v>43</v>
      </c>
      <c r="B32" s="350">
        <f>'2012 полн'!B26</f>
        <v>631.9</v>
      </c>
      <c r="C32" s="351">
        <f>'2012 полн'!C26</f>
        <v>8878.195</v>
      </c>
      <c r="D32" s="352">
        <f>'2012 полн'!D26</f>
        <v>216.34199999999998</v>
      </c>
      <c r="E32" s="346">
        <f>'2012 полн'!U26</f>
        <v>7724.400000000001</v>
      </c>
      <c r="F32" s="346">
        <f>'2012 полн'!V26</f>
        <v>0</v>
      </c>
      <c r="G32" s="353">
        <f>'2012 полн'!AF26</f>
        <v>7712.87</v>
      </c>
      <c r="H32" s="353">
        <f>'2012 полн'!AG26</f>
        <v>7929.2119999999995</v>
      </c>
      <c r="I32" s="346">
        <f>'2012 полн'!AK26</f>
        <v>631.9</v>
      </c>
      <c r="J32" s="346">
        <f>'2012 полн'!AL26</f>
        <v>126.38</v>
      </c>
      <c r="K32" s="346">
        <f>'2012 полн'!AM26+'2012 полн'!AN26+'2012 полн'!AO26+'2012 полн'!AP26+'2012 полн'!AQ26+'2012 полн'!AR26+'2012 полн'!AS26+'2012 полн'!AX26</f>
        <v>4366.429</v>
      </c>
      <c r="L32" s="347">
        <f>'2012 полн'!AU26+'2012 полн'!AV26+'2012 полн'!AW26</f>
        <v>0</v>
      </c>
      <c r="M32" s="348">
        <f>SUM(I32:L32)</f>
        <v>5124.709</v>
      </c>
      <c r="N32" s="349">
        <f>H32-M32</f>
        <v>2804.5029999999997</v>
      </c>
      <c r="O32" s="349">
        <f>'2012 полн'!BG26</f>
        <v>-11.530000000000655</v>
      </c>
      <c r="P32" s="253"/>
      <c r="Q32" s="253"/>
    </row>
    <row r="33" spans="1:17" ht="12.75">
      <c r="A33" s="264" t="s">
        <v>44</v>
      </c>
      <c r="B33" s="350">
        <f>'2012 полн'!B27</f>
        <v>631.9</v>
      </c>
      <c r="C33" s="351">
        <f>'2012 полн'!C27</f>
        <v>8878.195</v>
      </c>
      <c r="D33" s="352">
        <f>'2012 полн'!D27</f>
        <v>216.34199999999998</v>
      </c>
      <c r="E33" s="346">
        <f>'2012 полн'!U27</f>
        <v>7724.400000000001</v>
      </c>
      <c r="F33" s="346">
        <f>'2012 полн'!V27</f>
        <v>0</v>
      </c>
      <c r="G33" s="353">
        <f>'2012 полн'!AF27</f>
        <v>6567.82</v>
      </c>
      <c r="H33" s="353">
        <f>'2012 полн'!AG27</f>
        <v>6784.161999999999</v>
      </c>
      <c r="I33" s="346">
        <f>'2012 полн'!AK27</f>
        <v>631.9</v>
      </c>
      <c r="J33" s="346">
        <f>'2012 полн'!AL27</f>
        <v>126.38</v>
      </c>
      <c r="K33" s="346">
        <f>'2012 полн'!AM27+'2012 полн'!AN27+'2012 полн'!AO27+'2012 полн'!AP27+'2012 полн'!AQ27+'2012 полн'!AR27+'2012 полн'!AS27+'2012 полн'!AX27</f>
        <v>4366.429</v>
      </c>
      <c r="L33" s="347">
        <f>'2012 полн'!AU27+'2012 полн'!AV27+'2012 полн'!AW27</f>
        <v>0</v>
      </c>
      <c r="M33" s="348">
        <f aca="true" t="shared" si="4" ref="M33:M43">SUM(I33:L33)</f>
        <v>5124.709</v>
      </c>
      <c r="N33" s="349">
        <f aca="true" t="shared" si="5" ref="N33:N43">H33-M33</f>
        <v>1659.4529999999995</v>
      </c>
      <c r="O33" s="349">
        <f>'2012 полн'!BG27</f>
        <v>-1156.5800000000008</v>
      </c>
      <c r="P33" s="253"/>
      <c r="Q33" s="253"/>
    </row>
    <row r="34" spans="1:17" ht="12.75">
      <c r="A34" s="264" t="s">
        <v>45</v>
      </c>
      <c r="B34" s="350">
        <f>'2012 полн'!B28</f>
        <v>631.9</v>
      </c>
      <c r="C34" s="351">
        <f>'2012 полн'!C28</f>
        <v>8878.195</v>
      </c>
      <c r="D34" s="352">
        <f>'2012 полн'!D28</f>
        <v>216.34199999999998</v>
      </c>
      <c r="E34" s="346">
        <f>'2012 полн'!U28</f>
        <v>7724.400000000001</v>
      </c>
      <c r="F34" s="346">
        <f>'2012 полн'!V28</f>
        <v>0</v>
      </c>
      <c r="G34" s="353">
        <f>'2012 полн'!AF28</f>
        <v>6258.78</v>
      </c>
      <c r="H34" s="353">
        <f>'2012 полн'!AG28</f>
        <v>6475.121999999999</v>
      </c>
      <c r="I34" s="346">
        <f>'2012 полн'!AK28</f>
        <v>631.9</v>
      </c>
      <c r="J34" s="346">
        <f>'2012 полн'!AL28</f>
        <v>126.38</v>
      </c>
      <c r="K34" s="346">
        <f>'2012 полн'!AM28+'2012 полн'!AN28+'2012 полн'!AO28+'2012 полн'!AP28+'2012 полн'!AQ28+'2012 полн'!AR28+'2012 полн'!AS28+'2012 полн'!AX28</f>
        <v>4366.429</v>
      </c>
      <c r="L34" s="347">
        <f>'2012 полн'!AU28+'2012 полн'!AV28+'2012 полн'!AW28</f>
        <v>0</v>
      </c>
      <c r="M34" s="348">
        <f t="shared" si="4"/>
        <v>5124.709</v>
      </c>
      <c r="N34" s="349">
        <f t="shared" si="5"/>
        <v>1350.4129999999996</v>
      </c>
      <c r="O34" s="349">
        <f>'2012 полн'!BG28</f>
        <v>-1465.6200000000008</v>
      </c>
      <c r="P34" s="253"/>
      <c r="Q34" s="253"/>
    </row>
    <row r="35" spans="1:17" ht="12.75">
      <c r="A35" s="264" t="s">
        <v>46</v>
      </c>
      <c r="B35" s="350">
        <f>'2012 полн'!B29</f>
        <v>631.9</v>
      </c>
      <c r="C35" s="351">
        <f>'2012 полн'!C29</f>
        <v>8878.195</v>
      </c>
      <c r="D35" s="352">
        <f>'2012 полн'!D29</f>
        <v>216.34199999999998</v>
      </c>
      <c r="E35" s="346">
        <f>'2012 полн'!U29</f>
        <v>7724.400000000001</v>
      </c>
      <c r="F35" s="346">
        <f>'2012 полн'!V29</f>
        <v>0</v>
      </c>
      <c r="G35" s="353">
        <f>'2012 полн'!AF29</f>
        <v>20340.93</v>
      </c>
      <c r="H35" s="353">
        <f>'2012 полн'!AG29</f>
        <v>20557.272</v>
      </c>
      <c r="I35" s="346">
        <f>'2012 полн'!AK29</f>
        <v>631.9</v>
      </c>
      <c r="J35" s="346">
        <f>'2012 полн'!AL29</f>
        <v>126.38</v>
      </c>
      <c r="K35" s="346">
        <f>'2012 полн'!AM29+'2012 полн'!AN29+'2012 полн'!AO29+'2012 полн'!AP29+'2012 полн'!AQ29+'2012 полн'!AR29+'2012 полн'!AS29+'2012 полн'!AX29</f>
        <v>3639.7439999999997</v>
      </c>
      <c r="L35" s="347">
        <f>'2012 полн'!AU29+'2012 полн'!AV29+'2012 полн'!AW29</f>
        <v>0</v>
      </c>
      <c r="M35" s="348">
        <f t="shared" si="4"/>
        <v>4398.023999999999</v>
      </c>
      <c r="N35" s="349">
        <f t="shared" si="5"/>
        <v>16159.248000000001</v>
      </c>
      <c r="O35" s="349">
        <f>'2012 полн'!BG29</f>
        <v>12616.529999999999</v>
      </c>
      <c r="P35" s="253"/>
      <c r="Q35" s="253"/>
    </row>
    <row r="36" spans="1:17" ht="12.75">
      <c r="A36" s="264" t="s">
        <v>47</v>
      </c>
      <c r="B36" s="350">
        <f>'2012 полн'!B30</f>
        <v>631.9</v>
      </c>
      <c r="C36" s="351">
        <f>'2012 полн'!C30</f>
        <v>8878.195</v>
      </c>
      <c r="D36" s="352">
        <f>'2012 полн'!D30</f>
        <v>216.34199999999998</v>
      </c>
      <c r="E36" s="346">
        <f>'2012 полн'!U30</f>
        <v>7724.400000000001</v>
      </c>
      <c r="F36" s="346">
        <f>'2012 полн'!V30</f>
        <v>0</v>
      </c>
      <c r="G36" s="353">
        <f>'2012 полн'!AF30</f>
        <v>5381.89</v>
      </c>
      <c r="H36" s="353">
        <f>'2012 полн'!AG30</f>
        <v>5598.232</v>
      </c>
      <c r="I36" s="346">
        <f>'2012 полн'!AK30</f>
        <v>631.9</v>
      </c>
      <c r="J36" s="346">
        <f>'2012 полн'!AL30</f>
        <v>126.38</v>
      </c>
      <c r="K36" s="346">
        <f>'2012 полн'!AM30+'2012 полн'!AN30+'2012 полн'!AO30+'2012 полн'!AP30+'2012 полн'!AQ30+'2012 полн'!AR30+'2012 полн'!AS30+'2012 полн'!AX30</f>
        <v>3639.7439999999997</v>
      </c>
      <c r="L36" s="347">
        <f>'2012 полн'!AU30+'2012 полн'!AV30+'2012 полн'!AW30</f>
        <v>0</v>
      </c>
      <c r="M36" s="348">
        <f t="shared" si="4"/>
        <v>4398.023999999999</v>
      </c>
      <c r="N36" s="349">
        <f t="shared" si="5"/>
        <v>1200.2080000000005</v>
      </c>
      <c r="O36" s="349">
        <f>'2012 полн'!BG30</f>
        <v>-2342.51</v>
      </c>
      <c r="P36" s="253"/>
      <c r="Q36" s="253"/>
    </row>
    <row r="37" spans="1:17" ht="12.75">
      <c r="A37" s="264" t="s">
        <v>48</v>
      </c>
      <c r="B37" s="350">
        <f>'2012 полн'!B31</f>
        <v>631.9</v>
      </c>
      <c r="C37" s="351">
        <f>'2012 полн'!C31</f>
        <v>8878.195</v>
      </c>
      <c r="D37" s="352">
        <f>'2012 полн'!D31</f>
        <v>216.34199999999998</v>
      </c>
      <c r="E37" s="346">
        <f>'2012 полн'!U31</f>
        <v>7724.39</v>
      </c>
      <c r="F37" s="346">
        <f>'2012 полн'!V31</f>
        <v>0</v>
      </c>
      <c r="G37" s="353">
        <f>'2012 полн'!AF31</f>
        <v>5619.870000000001</v>
      </c>
      <c r="H37" s="353">
        <f>'2012 полн'!AG31</f>
        <v>5836.212</v>
      </c>
      <c r="I37" s="346">
        <f>'2012 полн'!AK31</f>
        <v>631.9</v>
      </c>
      <c r="J37" s="346">
        <f>'2012 полн'!AL31</f>
        <v>126.38</v>
      </c>
      <c r="K37" s="346">
        <f>'2012 полн'!AM31+'2012 полн'!AN31+'2012 полн'!AO31+'2012 полн'!AP31+'2012 полн'!AQ31+'2012 полн'!AR31+'2012 полн'!AS31+'2012 полн'!AX31</f>
        <v>5689.744</v>
      </c>
      <c r="L37" s="347">
        <f>'2012 полн'!AU31+'2012 полн'!AV31+'2012 полн'!AW31</f>
        <v>726</v>
      </c>
      <c r="M37" s="348">
        <f t="shared" si="4"/>
        <v>7174.023999999999</v>
      </c>
      <c r="N37" s="349">
        <f t="shared" si="5"/>
        <v>-1337.811999999999</v>
      </c>
      <c r="O37" s="349">
        <f>'2012 полн'!BG31</f>
        <v>-2104.5199999999995</v>
      </c>
      <c r="P37" s="253"/>
      <c r="Q37" s="253"/>
    </row>
    <row r="38" spans="1:17" ht="12.75">
      <c r="A38" s="264" t="s">
        <v>49</v>
      </c>
      <c r="B38" s="350">
        <f>'2012 полн'!B32</f>
        <v>631.9</v>
      </c>
      <c r="C38" s="351">
        <f>'2012 полн'!C32</f>
        <v>8878.195</v>
      </c>
      <c r="D38" s="352">
        <f>'2012 полн'!D32</f>
        <v>289.5165</v>
      </c>
      <c r="E38" s="346">
        <f>'2012 полн'!U32</f>
        <v>7814.400000000001</v>
      </c>
      <c r="F38" s="346">
        <f>'2012 полн'!V32</f>
        <v>0</v>
      </c>
      <c r="G38" s="353">
        <f>'2012 полн'!AF32</f>
        <v>6709.53</v>
      </c>
      <c r="H38" s="353">
        <f>'2012 полн'!AG32</f>
        <v>6999.0464999999995</v>
      </c>
      <c r="I38" s="346">
        <f>'2012 полн'!AK32</f>
        <v>631.9</v>
      </c>
      <c r="J38" s="346">
        <f>'2012 полн'!AL32</f>
        <v>126.38</v>
      </c>
      <c r="K38" s="346">
        <f>'2012 полн'!AM32+'2012 полн'!AN32+'2012 полн'!AO32+'2012 полн'!AP32+'2012 полн'!AQ32+'2012 полн'!AR32+'2012 полн'!AS32+'2012 полн'!AX32</f>
        <v>3639.7439999999997</v>
      </c>
      <c r="L38" s="347">
        <f>'2012 полн'!AU32+'2012 полн'!AV32+'2012 полн'!AW32</f>
        <v>0</v>
      </c>
      <c r="M38" s="348">
        <f t="shared" si="4"/>
        <v>4398.023999999999</v>
      </c>
      <c r="N38" s="349">
        <f t="shared" si="5"/>
        <v>2601.0225</v>
      </c>
      <c r="O38" s="349">
        <f>'2012 полн'!BG32</f>
        <v>-1104.8700000000008</v>
      </c>
      <c r="P38" s="253"/>
      <c r="Q38" s="253"/>
    </row>
    <row r="39" spans="1:17" ht="12.75">
      <c r="A39" s="264" t="s">
        <v>50</v>
      </c>
      <c r="B39" s="350">
        <f>'2012 полн'!B33</f>
        <v>631.9</v>
      </c>
      <c r="C39" s="351">
        <f>'2012 полн'!C33</f>
        <v>8878.195</v>
      </c>
      <c r="D39" s="352">
        <f>'2012 полн'!D33</f>
        <v>0</v>
      </c>
      <c r="E39" s="346">
        <f>'2012 полн'!U33</f>
        <v>7814.400000000001</v>
      </c>
      <c r="F39" s="346">
        <f>'2012 полн'!V33</f>
        <v>0</v>
      </c>
      <c r="G39" s="353">
        <f>'2012 полн'!AF33</f>
        <v>7266.150000000001</v>
      </c>
      <c r="H39" s="353">
        <f>'2012 полн'!AG33</f>
        <v>7266.150000000001</v>
      </c>
      <c r="I39" s="346">
        <f>'2012 полн'!AK33</f>
        <v>631.9</v>
      </c>
      <c r="J39" s="346">
        <f>'2012 полн'!AL33</f>
        <v>126.38</v>
      </c>
      <c r="K39" s="346">
        <f>'2012 полн'!AM33+'2012 полн'!AN33+'2012 полн'!AO33+'2012 полн'!AP33+'2012 полн'!AQ33+'2012 полн'!AR33+'2012 полн'!AS33+'2012 полн'!AX33</f>
        <v>10023.743999999999</v>
      </c>
      <c r="L39" s="347">
        <f>'2012 полн'!AU33+'2012 полн'!AV33+'2012 полн'!AW33</f>
        <v>0</v>
      </c>
      <c r="M39" s="348">
        <f t="shared" si="4"/>
        <v>10782.024</v>
      </c>
      <c r="N39" s="349">
        <f t="shared" si="5"/>
        <v>-3515.873999999999</v>
      </c>
      <c r="O39" s="349">
        <f>'2012 полн'!BG33</f>
        <v>-548.25</v>
      </c>
      <c r="P39" s="253"/>
      <c r="Q39" s="253"/>
    </row>
    <row r="40" spans="1:17" ht="12.75">
      <c r="A40" s="264" t="s">
        <v>51</v>
      </c>
      <c r="B40" s="350">
        <f>'2012 полн'!B34</f>
        <v>631.9</v>
      </c>
      <c r="C40" s="351">
        <f>'2012 полн'!C34</f>
        <v>8878.195</v>
      </c>
      <c r="D40" s="352">
        <f>'2012 полн'!D34</f>
        <v>0</v>
      </c>
      <c r="E40" s="346">
        <f>'2012 полн'!U34</f>
        <v>7814.400000000001</v>
      </c>
      <c r="F40" s="346">
        <f>'2012 полн'!V34</f>
        <v>0</v>
      </c>
      <c r="G40" s="353">
        <f>'2012 полн'!AF34</f>
        <v>5249.24</v>
      </c>
      <c r="H40" s="353">
        <f>'2012 полн'!AG34</f>
        <v>5249.24</v>
      </c>
      <c r="I40" s="346">
        <f>'2012 полн'!AK34</f>
        <v>631.9</v>
      </c>
      <c r="J40" s="346">
        <f>'2012 полн'!AL34</f>
        <v>126.38</v>
      </c>
      <c r="K40" s="346">
        <f>'2012 полн'!AM34+'2012 полн'!AN34+'2012 полн'!AO34+'2012 полн'!AP34+'2012 полн'!AQ34+'2012 полн'!AR34+'2012 полн'!AS34+'2012 полн'!AX34</f>
        <v>3639.7439999999997</v>
      </c>
      <c r="L40" s="347">
        <f>'2012 полн'!AU34+'2012 полн'!AV34+'2012 полн'!AW34</f>
        <v>0</v>
      </c>
      <c r="M40" s="348">
        <f t="shared" si="4"/>
        <v>4398.023999999999</v>
      </c>
      <c r="N40" s="349">
        <f t="shared" si="5"/>
        <v>851.2160000000003</v>
      </c>
      <c r="O40" s="349">
        <f>'2012 полн'!BG34</f>
        <v>-2565.1600000000008</v>
      </c>
      <c r="P40" s="253"/>
      <c r="Q40" s="253"/>
    </row>
    <row r="41" spans="1:17" ht="12.75">
      <c r="A41" s="264" t="s">
        <v>39</v>
      </c>
      <c r="B41" s="350">
        <f>'2012 полн'!B35</f>
        <v>631.9</v>
      </c>
      <c r="C41" s="351">
        <f>'2012 полн'!C35</f>
        <v>8878.195</v>
      </c>
      <c r="D41" s="352">
        <f>'2012 полн'!D35</f>
        <v>0</v>
      </c>
      <c r="E41" s="346">
        <f>'2012 полн'!U35</f>
        <v>7814.400000000001</v>
      </c>
      <c r="F41" s="346">
        <f>'2012 полн'!V35</f>
        <v>0</v>
      </c>
      <c r="G41" s="353">
        <f>'2012 полн'!AF35</f>
        <v>7398.17</v>
      </c>
      <c r="H41" s="353">
        <f>'2012 полн'!AG35</f>
        <v>7398.17</v>
      </c>
      <c r="I41" s="346">
        <f>'2012 полн'!AK35</f>
        <v>631.9</v>
      </c>
      <c r="J41" s="346">
        <f>'2012 полн'!AL35</f>
        <v>126.38</v>
      </c>
      <c r="K41" s="346">
        <f>'2012 полн'!AM35+'2012 полн'!AN35+'2012 полн'!AO35+'2012 полн'!AP35+'2012 полн'!AQ35+'2012 полн'!AR35+'2012 полн'!AS35+'2012 полн'!AX35</f>
        <v>6434.029</v>
      </c>
      <c r="L41" s="347">
        <f>'2012 полн'!AU35+'2012 полн'!AV35+'2012 полн'!AW35</f>
        <v>0</v>
      </c>
      <c r="M41" s="348">
        <f t="shared" si="4"/>
        <v>7192.309</v>
      </c>
      <c r="N41" s="349">
        <f t="shared" si="5"/>
        <v>205.86099999999988</v>
      </c>
      <c r="O41" s="349">
        <f>'2012 полн'!BG35</f>
        <v>-416.2300000000005</v>
      </c>
      <c r="P41" s="253"/>
      <c r="Q41" s="253"/>
    </row>
    <row r="42" spans="1:17" ht="12.75">
      <c r="A42" s="264" t="s">
        <v>40</v>
      </c>
      <c r="B42" s="350">
        <f>'2012 полн'!B36</f>
        <v>631.9</v>
      </c>
      <c r="C42" s="351">
        <f>'2012 полн'!C36</f>
        <v>8878.195</v>
      </c>
      <c r="D42" s="352">
        <f>'2012 полн'!D36</f>
        <v>0</v>
      </c>
      <c r="E42" s="346">
        <f>'2012 полн'!U36</f>
        <v>7814.400000000001</v>
      </c>
      <c r="F42" s="346">
        <f>'2012 полн'!V36</f>
        <v>0</v>
      </c>
      <c r="G42" s="353">
        <f>'2012 полн'!AF36</f>
        <v>6424.26</v>
      </c>
      <c r="H42" s="353">
        <f>'2012 полн'!AG36</f>
        <v>6424.26</v>
      </c>
      <c r="I42" s="346">
        <f>'2012 полн'!AK36</f>
        <v>631.9</v>
      </c>
      <c r="J42" s="346">
        <f>'2012 полн'!AL36</f>
        <v>126.38</v>
      </c>
      <c r="K42" s="346">
        <f>'2012 полн'!AM36+'2012 полн'!AN36+'2012 полн'!AO36+'2012 полн'!AP36+'2012 полн'!AQ36+'2012 полн'!AR36+'2012 полн'!AS36+'2012 полн'!AX36</f>
        <v>4366.429</v>
      </c>
      <c r="L42" s="347">
        <f>'2012 полн'!AU36+'2012 полн'!AV36+'2012 полн'!AW36</f>
        <v>0</v>
      </c>
      <c r="M42" s="348">
        <f t="shared" si="4"/>
        <v>5124.709</v>
      </c>
      <c r="N42" s="349">
        <f t="shared" si="5"/>
        <v>1299.5510000000004</v>
      </c>
      <c r="O42" s="349">
        <f>'2012 полн'!BG36</f>
        <v>-1390.1400000000003</v>
      </c>
      <c r="P42" s="253"/>
      <c r="Q42" s="253"/>
    </row>
    <row r="43" spans="1:17" ht="13.5" thickBot="1">
      <c r="A43" s="264" t="s">
        <v>41</v>
      </c>
      <c r="B43" s="350">
        <f>'2012 полн'!B37</f>
        <v>631.9</v>
      </c>
      <c r="C43" s="351">
        <f>'2012 полн'!C37</f>
        <v>8878.195</v>
      </c>
      <c r="D43" s="352">
        <f>'2012 полн'!D37</f>
        <v>0</v>
      </c>
      <c r="E43" s="346">
        <f>'2012 полн'!U37</f>
        <v>7814.400000000001</v>
      </c>
      <c r="F43" s="346">
        <f>'2012 полн'!V37</f>
        <v>0</v>
      </c>
      <c r="G43" s="353">
        <f>'2012 полн'!AF37</f>
        <v>6797.36</v>
      </c>
      <c r="H43" s="353">
        <f>'2012 полн'!AG37</f>
        <v>6797.36</v>
      </c>
      <c r="I43" s="346">
        <f>'2012 полн'!AK37</f>
        <v>631.9</v>
      </c>
      <c r="J43" s="346">
        <f>'2012 полн'!AL37</f>
        <v>126.38</v>
      </c>
      <c r="K43" s="346">
        <f>'2012 полн'!AM37+'2012 полн'!AN37+'2012 полн'!AO37+'2012 полн'!AP37+'2012 полн'!AQ37+'2012 полн'!AR37+'2012 полн'!AS37+'2012 полн'!AX37</f>
        <v>10366.429</v>
      </c>
      <c r="L43" s="347">
        <f>'2012 полн'!AU37+'2012 полн'!AV37+'2012 полн'!AW37</f>
        <v>0</v>
      </c>
      <c r="M43" s="348">
        <f t="shared" si="4"/>
        <v>11124.709</v>
      </c>
      <c r="N43" s="349">
        <f t="shared" si="5"/>
        <v>-4327.349000000001</v>
      </c>
      <c r="O43" s="349">
        <f>'2012 полн'!BG37</f>
        <v>-1017.0400000000009</v>
      </c>
      <c r="P43" s="253"/>
      <c r="Q43" s="253"/>
    </row>
    <row r="44" spans="1:17" s="24" customFormat="1" ht="13.5" thickBot="1">
      <c r="A44" s="45" t="s">
        <v>3</v>
      </c>
      <c r="B44" s="46"/>
      <c r="C44" s="51">
        <f aca="true" t="shared" si="6" ref="C44:M44">SUM(C32:C43)</f>
        <v>106538.34000000003</v>
      </c>
      <c r="D44" s="51">
        <f t="shared" si="6"/>
        <v>1587.5685</v>
      </c>
      <c r="E44" s="51">
        <f t="shared" si="6"/>
        <v>93232.78999999998</v>
      </c>
      <c r="F44" s="51">
        <f t="shared" si="6"/>
        <v>0</v>
      </c>
      <c r="G44" s="51">
        <f t="shared" si="6"/>
        <v>91726.87</v>
      </c>
      <c r="H44" s="51">
        <f t="shared" si="6"/>
        <v>93314.43849999999</v>
      </c>
      <c r="I44" s="51">
        <f t="shared" si="6"/>
        <v>7582.799999999998</v>
      </c>
      <c r="J44" s="51">
        <f t="shared" si="6"/>
        <v>1516.5600000000004</v>
      </c>
      <c r="K44" s="51">
        <f t="shared" si="6"/>
        <v>64538.638000000006</v>
      </c>
      <c r="L44" s="51">
        <f t="shared" si="6"/>
        <v>726</v>
      </c>
      <c r="M44" s="51">
        <f t="shared" si="6"/>
        <v>74363.99799999999</v>
      </c>
      <c r="N44" s="51">
        <f>SUM(N32:N43)</f>
        <v>18950.440499999997</v>
      </c>
      <c r="O44" s="51">
        <f>SUM(O32:O43)</f>
        <v>-1505.9200000000073</v>
      </c>
      <c r="P44" s="53"/>
      <c r="Q44" s="53"/>
    </row>
    <row r="45" spans="1:16" ht="13.5" thickBot="1">
      <c r="A45" s="516" t="s">
        <v>67</v>
      </c>
      <c r="B45" s="517"/>
      <c r="C45" s="517"/>
      <c r="D45" s="517"/>
      <c r="E45" s="517"/>
      <c r="F45" s="517"/>
      <c r="G45" s="517"/>
      <c r="H45" s="517"/>
      <c r="I45" s="517"/>
      <c r="J45" s="517"/>
      <c r="K45" s="517"/>
      <c r="L45" s="517"/>
      <c r="M45" s="517"/>
      <c r="N45" s="354"/>
      <c r="O45" s="339"/>
      <c r="P45" s="355"/>
    </row>
    <row r="46" spans="1:17" s="24" customFormat="1" ht="13.5" thickBot="1">
      <c r="A46" s="58" t="s">
        <v>52</v>
      </c>
      <c r="B46" s="59"/>
      <c r="C46" s="60">
        <f aca="true" t="shared" si="7" ref="C46:O46">C44+C30</f>
        <v>328965.865</v>
      </c>
      <c r="D46" s="60">
        <f t="shared" si="7"/>
        <v>80450.16207255003</v>
      </c>
      <c r="E46" s="60">
        <f t="shared" si="7"/>
        <v>217722.91999999998</v>
      </c>
      <c r="F46" s="60">
        <f t="shared" si="7"/>
        <v>7989.57</v>
      </c>
      <c r="G46" s="60">
        <f t="shared" si="7"/>
        <v>195585.9</v>
      </c>
      <c r="H46" s="60">
        <f t="shared" si="7"/>
        <v>284025.63207255</v>
      </c>
      <c r="I46" s="60">
        <f t="shared" si="7"/>
        <v>22746.167999999998</v>
      </c>
      <c r="J46" s="60">
        <f t="shared" si="7"/>
        <v>6411.7160104</v>
      </c>
      <c r="K46" s="60">
        <f t="shared" si="7"/>
        <v>195387.8561771078</v>
      </c>
      <c r="L46" s="60">
        <f t="shared" si="7"/>
        <v>36531.383799999996</v>
      </c>
      <c r="M46" s="60">
        <f t="shared" si="7"/>
        <v>261077.1239875078</v>
      </c>
      <c r="N46" s="60">
        <f t="shared" si="7"/>
        <v>22948.508085042227</v>
      </c>
      <c r="O46" s="60">
        <f t="shared" si="7"/>
        <v>-22137.019999999997</v>
      </c>
      <c r="P46" s="275"/>
      <c r="Q46" s="53"/>
    </row>
    <row r="47" ht="9" customHeight="1"/>
    <row r="48" spans="1:4" ht="12.75">
      <c r="A48" s="24" t="s">
        <v>92</v>
      </c>
      <c r="D48" s="356" t="s">
        <v>129</v>
      </c>
    </row>
    <row r="49" spans="1:4" ht="12.75">
      <c r="A49" s="262" t="s">
        <v>68</v>
      </c>
      <c r="B49" s="262" t="s">
        <v>69</v>
      </c>
      <c r="C49" s="518" t="s">
        <v>70</v>
      </c>
      <c r="D49" s="518"/>
    </row>
    <row r="50" spans="1:4" ht="12.75">
      <c r="A50" s="357">
        <v>26949.47</v>
      </c>
      <c r="B50" s="358">
        <v>0</v>
      </c>
      <c r="C50" s="519">
        <f>A50-B50</f>
        <v>26949.47</v>
      </c>
      <c r="D50" s="520"/>
    </row>
    <row r="51" ht="12.75">
      <c r="A51" s="64"/>
    </row>
    <row r="52" spans="1:7" ht="12.75">
      <c r="A52" s="254" t="s">
        <v>71</v>
      </c>
      <c r="G52" s="254" t="s">
        <v>72</v>
      </c>
    </row>
    <row r="53" ht="12.75">
      <c r="A53" s="253"/>
    </row>
    <row r="54" ht="12.75">
      <c r="A54" s="254" t="s">
        <v>125</v>
      </c>
    </row>
    <row r="55" ht="12.75">
      <c r="A55" s="254" t="s">
        <v>73</v>
      </c>
    </row>
  </sheetData>
  <sheetProtection/>
  <mergeCells count="27">
    <mergeCell ref="A45:M45"/>
    <mergeCell ref="B1:H1"/>
    <mergeCell ref="B2:H2"/>
    <mergeCell ref="A5:M5"/>
    <mergeCell ref="A6:G6"/>
    <mergeCell ref="A7:D7"/>
    <mergeCell ref="E7:F7"/>
    <mergeCell ref="O8:O11"/>
    <mergeCell ref="E10:F10"/>
    <mergeCell ref="H10:H11"/>
    <mergeCell ref="I10:I11"/>
    <mergeCell ref="J10:J11"/>
    <mergeCell ref="K10:K11"/>
    <mergeCell ref="L10:L11"/>
    <mergeCell ref="M10:M11"/>
    <mergeCell ref="E8:F9"/>
    <mergeCell ref="G8:H9"/>
    <mergeCell ref="A13:M13"/>
    <mergeCell ref="A29:M29"/>
    <mergeCell ref="C49:D49"/>
    <mergeCell ref="C50:D50"/>
    <mergeCell ref="I8:M9"/>
    <mergeCell ref="N8:N11"/>
    <mergeCell ref="A8:A11"/>
    <mergeCell ref="B8:B11"/>
    <mergeCell ref="C8:C11"/>
    <mergeCell ref="D8:D11"/>
  </mergeCells>
  <printOptions/>
  <pageMargins left="0.2362204724409449" right="0.15748031496062992" top="0.07874015748031496" bottom="0.07874015748031496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Мадемуазель</cp:lastModifiedBy>
  <cp:lastPrinted>2010-07-08T09:41:53Z</cp:lastPrinted>
  <dcterms:created xsi:type="dcterms:W3CDTF">2010-04-03T04:08:20Z</dcterms:created>
  <dcterms:modified xsi:type="dcterms:W3CDTF">2013-04-22T04:45:21Z</dcterms:modified>
  <cp:category/>
  <cp:version/>
  <cp:contentType/>
  <cp:contentStatus/>
</cp:coreProperties>
</file>