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2008-2010" sheetId="1" r:id="rId1"/>
    <sheet name="Лист2" sheetId="2" r:id="rId2"/>
    <sheet name="2012 полн" sheetId="3" r:id="rId3"/>
    <sheet name="2012 печать" sheetId="4" r:id="rId4"/>
    <sheet name="Лист1" sheetId="5" r:id="rId5"/>
  </sheets>
  <externalReferences>
    <externalReference r:id="rId8"/>
    <externalReference r:id="rId9"/>
  </externalReferences>
  <definedNames/>
  <calcPr fullCalcOnLoad="1" refMode="R1C1"/>
</workbook>
</file>

<file path=xl/sharedStrings.xml><?xml version="1.0" encoding="utf-8"?>
<sst xmlns="http://schemas.openxmlformats.org/spreadsheetml/2006/main" count="334" uniqueCount="124">
  <si>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</si>
  <si>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</si>
  <si>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</si>
  <si>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</si>
  <si>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</si>
  <si>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</si>
  <si>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</si>
  <si>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</si>
  <si>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</si>
  <si>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</si>
  <si>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</si>
  <si>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</si>
  <si>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</si>
  <si>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</si>
  <si>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</si>
  <si>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</si>
  <si>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</si>
  <si>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</si>
  <si>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</si>
  <si>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</si>
  <si>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</si>
  <si>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</si>
  <si>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</si>
  <si>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</si>
  <si>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</si>
  <si>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</si>
  <si>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</si>
  <si>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</si>
  <si>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</si>
  <si>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</si>
  <si>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</si>
  <si>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</si>
  <si>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</si>
  <si>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</si>
  <si>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</si>
  <si>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</si>
  <si>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</si>
  <si>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</si>
  <si>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</si>
  <si>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</si>
  <si>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</si>
  <si>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</si>
  <si>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</si>
  <si>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</si>
  <si>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</si>
  <si>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</si>
  <si>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</si>
  <si>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</si>
  <si>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</si>
  <si>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</si>
  <si>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</si>
  <si>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</si>
  <si>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</si>
  <si>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</si>
  <si>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</si>
  <si>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</si>
  <si>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</si>
  <si>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</si>
  <si>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</si>
  <si>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</si>
  <si>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</si>
  <si>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</si>
  <si>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</si>
  <si>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</si>
  <si>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</si>
  <si>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</si>
  <si>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</si>
  <si>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</si>
  <si>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</si>
  <si>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</si>
  <si>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</si>
  <si>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</si>
  <si>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</si>
  <si>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</si>
  <si>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</si>
  <si>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</si>
  <si>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Эл.энергия МОП</t>
  </si>
  <si>
    <t>норма часов горения</t>
  </si>
  <si>
    <t>кол-во кВт</t>
  </si>
  <si>
    <t>стоимость итого</t>
  </si>
  <si>
    <t>Тек. Ремонт ООО "ТУК"</t>
  </si>
  <si>
    <t>Тек. Ремонт ООО "УЖХ"</t>
  </si>
  <si>
    <t>2010 год</t>
  </si>
  <si>
    <t>Начислено населению</t>
  </si>
  <si>
    <t>Доходы по нежил.помещениям</t>
  </si>
  <si>
    <t>Содержание жилья</t>
  </si>
  <si>
    <t xml:space="preserve">     Лифты</t>
  </si>
  <si>
    <t>сод.жилья</t>
  </si>
  <si>
    <t>Арендная  плата</t>
  </si>
  <si>
    <t>Собрано всего по жил.услугам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</si>
  <si>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</si>
  <si>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</si>
  <si>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</si>
  <si>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</si>
  <si>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</si>
  <si>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</si>
  <si>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</si>
  <si>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</si>
  <si>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</si>
  <si>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</si>
  <si>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</si>
  <si>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</si>
  <si>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нежил. помещениям</t>
  </si>
  <si>
    <t>Электроэнергия</t>
  </si>
  <si>
    <t>Собрано квартплаты от населения</t>
  </si>
  <si>
    <t>Услуга начисления</t>
  </si>
  <si>
    <t>Собрано по содержанию и тек.рем.</t>
  </si>
  <si>
    <t>на начало отчетного периода</t>
  </si>
  <si>
    <t>2011 год</t>
  </si>
  <si>
    <t>Содержание сетей тепло, водоснабжения и водоотведения</t>
  </si>
  <si>
    <t>Выписка по лицевому счету по адресу г. Таштагол ул. Баумана, д.4</t>
  </si>
  <si>
    <t>Капитальный ремонт</t>
  </si>
  <si>
    <t>Лицевой счет по адресу г. Таштагол, ул. ул. Баумана, д. 4</t>
  </si>
  <si>
    <t>Лицевой счет по адресу г. Таштагол, ул. ул. Баумана, д. 4 (с  исправлениями)</t>
  </si>
  <si>
    <t>-297 - отопление  в  январе  2011г исправленное</t>
  </si>
  <si>
    <t>Тариф по содержанию и тек.ремонту 100 % (3,00 руб.*площадь)</t>
  </si>
  <si>
    <t>2012 год</t>
  </si>
  <si>
    <t>*по состоянию на 01.01.2013г.</t>
  </si>
  <si>
    <t>на 01.01.2013 г.</t>
  </si>
  <si>
    <t>содержанию и тек.рем.</t>
  </si>
  <si>
    <t xml:space="preserve">Собрано квартплаты </t>
  </si>
  <si>
    <t>на 01.01.2011 г.</t>
  </si>
  <si>
    <t>Выписка по лицевому счету по адресу г. Таштагол, ул. Баумана, д. 4</t>
  </si>
  <si>
    <t>Исп. В.В. Колмогорова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</si>
</sst>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3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b/>
      <sz val="12"/>
      <color indexed="10"/>
      <name val="Arial Cyr"/>
      <family val="0"/>
    </font>
    <font>
      <sz val="11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" fillId="16" borderId="0">
      <alignment horizontal="left" vertical="center"/>
      <protection/>
    </xf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2" fillId="7" borderId="1" applyNumberFormat="0" applyAlignment="0" applyProtection="0"/>
    <xf numFmtId="0" fontId="13" fillId="21" borderId="2" applyNumberFormat="0" applyAlignment="0" applyProtection="0"/>
    <xf numFmtId="0" fontId="14" fillId="21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2" borderId="7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8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3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0" fillId="25" borderId="11" xfId="0" applyNumberFormat="1" applyFont="1" applyFill="1" applyBorder="1" applyAlignment="1">
      <alignment/>
    </xf>
    <xf numFmtId="0" fontId="0" fillId="25" borderId="11" xfId="0" applyFont="1" applyFill="1" applyBorder="1" applyAlignment="1">
      <alignment vertical="center" wrapText="1"/>
    </xf>
    <xf numFmtId="4" fontId="0" fillId="23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25" borderId="11" xfId="0" applyNumberFormat="1" applyFont="1" applyFill="1" applyBorder="1" applyAlignment="1">
      <alignment wrapText="1"/>
    </xf>
    <xf numFmtId="4" fontId="1" fillId="23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23" borderId="11" xfId="0" applyFont="1" applyFill="1" applyBorder="1" applyAlignment="1">
      <alignment vertical="center" wrapText="1"/>
    </xf>
    <xf numFmtId="4" fontId="0" fillId="25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textRotation="90" wrapText="1"/>
    </xf>
    <xf numFmtId="0" fontId="1" fillId="0" borderId="18" xfId="0" applyFont="1" applyFill="1" applyBorder="1" applyAlignment="1">
      <alignment horizontal="center" textRotation="90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2" fillId="0" borderId="21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4" fontId="2" fillId="0" borderId="24" xfId="34" applyNumberFormat="1" applyFont="1" applyFill="1" applyBorder="1" applyAlignment="1">
      <alignment horizontal="right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4" fontId="1" fillId="0" borderId="28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2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4" fontId="1" fillId="0" borderId="20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25" borderId="32" xfId="0" applyFont="1" applyFill="1" applyBorder="1" applyAlignment="1">
      <alignment horizontal="right" vertical="center" wrapText="1"/>
    </xf>
    <xf numFmtId="4" fontId="1" fillId="25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0" fillId="25" borderId="11" xfId="0" applyNumberFormat="1" applyFont="1" applyFill="1" applyBorder="1" applyAlignment="1">
      <alignment horizontal="right" vertical="center" wrapText="1"/>
    </xf>
    <xf numFmtId="4" fontId="0" fillId="25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right" wrapText="1"/>
    </xf>
    <xf numFmtId="4" fontId="1" fillId="23" borderId="11" xfId="0" applyNumberFormat="1" applyFont="1" applyFill="1" applyBorder="1" applyAlignment="1">
      <alignment/>
    </xf>
    <xf numFmtId="4" fontId="0" fillId="23" borderId="11" xfId="0" applyNumberFormat="1" applyFont="1" applyFill="1" applyBorder="1" applyAlignment="1">
      <alignment horizontal="right"/>
    </xf>
    <xf numFmtId="4" fontId="1" fillId="23" borderId="1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33" xfId="34" applyNumberFormat="1" applyFont="1" applyFill="1" applyBorder="1" applyAlignment="1">
      <alignment horizontal="center" vertical="center" wrapText="1"/>
      <protection/>
    </xf>
    <xf numFmtId="4" fontId="2" fillId="23" borderId="13" xfId="34" applyNumberFormat="1" applyFont="1" applyFill="1" applyBorder="1" applyAlignment="1">
      <alignment horizontal="center" vertical="center" wrapText="1"/>
      <protection/>
    </xf>
    <xf numFmtId="4" fontId="0" fillId="7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/>
    </xf>
    <xf numFmtId="4" fontId="0" fillId="23" borderId="21" xfId="0" applyNumberFormat="1" applyFont="1" applyFill="1" applyBorder="1" applyAlignment="1">
      <alignment/>
    </xf>
    <xf numFmtId="4" fontId="0" fillId="23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1" fillId="0" borderId="34" xfId="0" applyNumberFormat="1" applyFont="1" applyFill="1" applyBorder="1" applyAlignment="1">
      <alignment horizontal="center" vertical="center" wrapText="1"/>
    </xf>
    <xf numFmtId="4" fontId="0" fillId="4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2" fillId="23" borderId="11" xfId="34" applyNumberFormat="1" applyFont="1" applyFill="1" applyBorder="1" applyAlignment="1">
      <alignment horizontal="center" vertical="center" wrapText="1"/>
      <protection/>
    </xf>
    <xf numFmtId="4" fontId="2" fillId="0" borderId="32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/>
    </xf>
    <xf numFmtId="4" fontId="0" fillId="23" borderId="22" xfId="0" applyNumberFormat="1" applyFont="1" applyFill="1" applyBorder="1" applyAlignment="1">
      <alignment/>
    </xf>
    <xf numFmtId="4" fontId="0" fillId="23" borderId="32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/>
    </xf>
    <xf numFmtId="0" fontId="1" fillId="0" borderId="35" xfId="0" applyFont="1" applyFill="1" applyBorder="1" applyAlignment="1">
      <alignment horizontal="right" vertical="center" wrapText="1"/>
    </xf>
    <xf numFmtId="2" fontId="1" fillId="25" borderId="34" xfId="0" applyNumberFormat="1" applyFont="1" applyFill="1" applyBorder="1" applyAlignment="1">
      <alignment horizontal="center" vertical="center" wrapText="1"/>
    </xf>
    <xf numFmtId="2" fontId="1" fillId="25" borderId="36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4" fontId="0" fillId="26" borderId="21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2" fontId="0" fillId="0" borderId="21" xfId="0" applyNumberFormat="1" applyFont="1" applyFill="1" applyBorder="1" applyAlignment="1">
      <alignment horizontal="center"/>
    </xf>
    <xf numFmtId="4" fontId="2" fillId="23" borderId="21" xfId="0" applyNumberFormat="1" applyFont="1" applyFill="1" applyBorder="1" applyAlignment="1">
      <alignment/>
    </xf>
    <xf numFmtId="4" fontId="2" fillId="23" borderId="1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right"/>
    </xf>
    <xf numFmtId="0" fontId="1" fillId="0" borderId="38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2" fontId="0" fillId="0" borderId="14" xfId="0" applyNumberFormat="1" applyBorder="1" applyAlignment="1">
      <alignment horizontal="center"/>
    </xf>
    <xf numFmtId="0" fontId="0" fillId="0" borderId="0" xfId="0" applyFill="1" applyAlignment="1">
      <alignment/>
    </xf>
    <xf numFmtId="4" fontId="2" fillId="0" borderId="14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40" xfId="0" applyFont="1" applyBorder="1" applyAlignment="1">
      <alignment wrapText="1"/>
    </xf>
    <xf numFmtId="2" fontId="2" fillId="0" borderId="11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0" fillId="0" borderId="3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7" borderId="22" xfId="0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 wrapText="1"/>
    </xf>
    <xf numFmtId="4" fontId="9" fillId="0" borderId="32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8" fillId="23" borderId="11" xfId="0" applyNumberFormat="1" applyFont="1" applyFill="1" applyBorder="1" applyAlignment="1">
      <alignment/>
    </xf>
    <xf numFmtId="4" fontId="8" fillId="25" borderId="11" xfId="0" applyNumberFormat="1" applyFont="1" applyFill="1" applyBorder="1" applyAlignment="1">
      <alignment/>
    </xf>
    <xf numFmtId="4" fontId="8" fillId="4" borderId="11" xfId="0" applyNumberFormat="1" applyFont="1" applyFill="1" applyBorder="1" applyAlignment="1">
      <alignment/>
    </xf>
    <xf numFmtId="4" fontId="8" fillId="26" borderId="21" xfId="0" applyNumberFormat="1" applyFont="1" applyFill="1" applyBorder="1" applyAlignment="1">
      <alignment/>
    </xf>
    <xf numFmtId="4" fontId="9" fillId="23" borderId="11" xfId="0" applyNumberFormat="1" applyFont="1" applyFill="1" applyBorder="1" applyAlignment="1">
      <alignment/>
    </xf>
    <xf numFmtId="4" fontId="8" fillId="4" borderId="32" xfId="0" applyNumberFormat="1" applyFont="1" applyFill="1" applyBorder="1" applyAlignment="1">
      <alignment/>
    </xf>
    <xf numFmtId="4" fontId="0" fillId="23" borderId="14" xfId="0" applyNumberFormat="1" applyFont="1" applyFill="1" applyBorder="1" applyAlignment="1">
      <alignment horizontal="center" wrapText="1"/>
    </xf>
    <xf numFmtId="2" fontId="8" fillId="23" borderId="11" xfId="0" applyNumberFormat="1" applyFont="1" applyFill="1" applyBorder="1" applyAlignment="1">
      <alignment horizontal="center"/>
    </xf>
    <xf numFmtId="4" fontId="8" fillId="23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0" fontId="30" fillId="0" borderId="2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7" borderId="22" xfId="0" applyFont="1" applyFill="1" applyBorder="1" applyAlignment="1">
      <alignment/>
    </xf>
    <xf numFmtId="0" fontId="30" fillId="0" borderId="32" xfId="0" applyFont="1" applyBorder="1" applyAlignment="1">
      <alignment wrapText="1"/>
    </xf>
    <xf numFmtId="2" fontId="8" fillId="23" borderId="13" xfId="0" applyNumberFormat="1" applyFont="1" applyFill="1" applyBorder="1" applyAlignment="1">
      <alignment horizontal="center"/>
    </xf>
    <xf numFmtId="43" fontId="0" fillId="26" borderId="11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/>
    </xf>
    <xf numFmtId="4" fontId="8" fillId="0" borderId="21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0" fontId="0" fillId="25" borderId="11" xfId="0" applyFont="1" applyFill="1" applyBorder="1" applyAlignment="1">
      <alignment horizontal="right" vertical="center" wrapText="1"/>
    </xf>
    <xf numFmtId="2" fontId="0" fillId="0" borderId="14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" fontId="9" fillId="23" borderId="13" xfId="34" applyNumberFormat="1" applyFont="1" applyFill="1" applyBorder="1" applyAlignment="1">
      <alignment horizontal="center" vertical="center" wrapText="1"/>
      <protection/>
    </xf>
    <xf numFmtId="4" fontId="8" fillId="23" borderId="21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4" fontId="0" fillId="25" borderId="11" xfId="0" applyNumberFormat="1" applyFont="1" applyFill="1" applyBorder="1" applyAlignment="1">
      <alignment/>
    </xf>
    <xf numFmtId="4" fontId="0" fillId="26" borderId="11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4" fontId="8" fillId="26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0" fillId="3" borderId="21" xfId="0" applyNumberFormat="1" applyFont="1" applyFill="1" applyBorder="1" applyAlignment="1">
      <alignment horizontal="center"/>
    </xf>
    <xf numFmtId="4" fontId="0" fillId="23" borderId="11" xfId="0" applyNumberFormat="1" applyFont="1" applyFill="1" applyBorder="1" applyAlignment="1">
      <alignment horizontal="center"/>
    </xf>
    <xf numFmtId="43" fontId="0" fillId="26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2" fontId="0" fillId="23" borderId="13" xfId="0" applyNumberFormat="1" applyFont="1" applyFill="1" applyBorder="1" applyAlignment="1">
      <alignment horizontal="center"/>
    </xf>
    <xf numFmtId="2" fontId="0" fillId="23" borderId="11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4" fontId="1" fillId="0" borderId="43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4" fontId="1" fillId="0" borderId="44" xfId="0" applyNumberFormat="1" applyFont="1" applyFill="1" applyBorder="1" applyAlignment="1">
      <alignment horizontal="right"/>
    </xf>
    <xf numFmtId="4" fontId="1" fillId="0" borderId="45" xfId="0" applyNumberFormat="1" applyFont="1" applyFill="1" applyBorder="1" applyAlignment="1">
      <alignment horizontal="right"/>
    </xf>
    <xf numFmtId="0" fontId="2" fillId="0" borderId="14" xfId="0" applyFont="1" applyBorder="1" applyAlignment="1">
      <alignment wrapText="1"/>
    </xf>
    <xf numFmtId="4" fontId="1" fillId="0" borderId="46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7" borderId="14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center" wrapText="1"/>
    </xf>
    <xf numFmtId="4" fontId="2" fillId="23" borderId="47" xfId="0" applyNumberFormat="1" applyFont="1" applyFill="1" applyBorder="1" applyAlignment="1">
      <alignment horizontal="right" wrapText="1"/>
    </xf>
    <xf numFmtId="2" fontId="0" fillId="23" borderId="13" xfId="0" applyNumberFormat="1" applyFont="1" applyFill="1" applyBorder="1" applyAlignment="1">
      <alignment horizontal="center"/>
    </xf>
    <xf numFmtId="4" fontId="0" fillId="23" borderId="11" xfId="0" applyNumberFormat="1" applyFont="1" applyFill="1" applyBorder="1" applyAlignment="1">
      <alignment horizontal="center"/>
    </xf>
    <xf numFmtId="43" fontId="0" fillId="26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26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4" fontId="2" fillId="0" borderId="11" xfId="0" applyNumberFormat="1" applyFont="1" applyBorder="1" applyAlignment="1">
      <alignment wrapText="1"/>
    </xf>
    <xf numFmtId="4" fontId="2" fillId="0" borderId="21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wrapText="1"/>
    </xf>
    <xf numFmtId="4" fontId="8" fillId="23" borderId="14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7" borderId="14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 horizontal="center"/>
    </xf>
    <xf numFmtId="4" fontId="0" fillId="23" borderId="21" xfId="0" applyNumberFormat="1" applyFont="1" applyFill="1" applyBorder="1" applyAlignment="1">
      <alignment/>
    </xf>
    <xf numFmtId="4" fontId="0" fillId="23" borderId="11" xfId="0" applyNumberFormat="1" applyFont="1" applyFill="1" applyBorder="1" applyAlignment="1">
      <alignment/>
    </xf>
    <xf numFmtId="4" fontId="0" fillId="4" borderId="11" xfId="0" applyNumberFormat="1" applyFont="1" applyFill="1" applyBorder="1" applyAlignment="1">
      <alignment/>
    </xf>
    <xf numFmtId="4" fontId="0" fillId="2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" fontId="0" fillId="26" borderId="21" xfId="0" applyNumberFormat="1" applyFont="1" applyFill="1" applyBorder="1" applyAlignment="1">
      <alignment/>
    </xf>
    <xf numFmtId="4" fontId="0" fillId="25" borderId="17" xfId="0" applyNumberFormat="1" applyFont="1" applyFill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4" fontId="0" fillId="0" borderId="48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4" fontId="0" fillId="0" borderId="49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4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50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7" borderId="22" xfId="0" applyNumberFormat="1" applyFont="1" applyFill="1" applyBorder="1" applyAlignment="1">
      <alignment horizontal="center"/>
    </xf>
    <xf numFmtId="4" fontId="0" fillId="0" borderId="47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0" fillId="7" borderId="30" xfId="0" applyNumberFormat="1" applyFont="1" applyFill="1" applyBorder="1" applyAlignment="1">
      <alignment horizontal="center"/>
    </xf>
    <xf numFmtId="4" fontId="32" fillId="0" borderId="11" xfId="0" applyNumberFormat="1" applyFont="1" applyFill="1" applyBorder="1" applyAlignment="1">
      <alignment horizontal="center"/>
    </xf>
    <xf numFmtId="4" fontId="32" fillId="0" borderId="21" xfId="0" applyNumberFormat="1" applyFont="1" applyFill="1" applyBorder="1" applyAlignment="1">
      <alignment horizontal="center"/>
    </xf>
    <xf numFmtId="4" fontId="32" fillId="3" borderId="11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4" fontId="0" fillId="0" borderId="3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0" fillId="0" borderId="47" xfId="0" applyNumberFormat="1" applyFill="1" applyBorder="1" applyAlignment="1">
      <alignment horizontal="right" wrapText="1"/>
    </xf>
    <xf numFmtId="0" fontId="2" fillId="0" borderId="49" xfId="0" applyFont="1" applyBorder="1" applyAlignment="1">
      <alignment wrapText="1"/>
    </xf>
    <xf numFmtId="4" fontId="2" fillId="23" borderId="47" xfId="0" applyNumberFormat="1" applyFont="1" applyFill="1" applyBorder="1" applyAlignment="1">
      <alignment horizontal="right" wrapText="1"/>
    </xf>
    <xf numFmtId="0" fontId="33" fillId="0" borderId="11" xfId="0" applyFont="1" applyBorder="1" applyAlignment="1">
      <alignment wrapText="1"/>
    </xf>
    <xf numFmtId="0" fontId="33" fillId="0" borderId="21" xfId="0" applyFont="1" applyBorder="1" applyAlignment="1">
      <alignment wrapText="1"/>
    </xf>
    <xf numFmtId="4" fontId="2" fillId="7" borderId="14" xfId="0" applyNumberFormat="1" applyFont="1" applyFill="1" applyBorder="1" applyAlignment="1">
      <alignment wrapText="1"/>
    </xf>
    <xf numFmtId="4" fontId="0" fillId="23" borderId="13" xfId="0" applyNumberFormat="1" applyFont="1" applyFill="1" applyBorder="1" applyAlignment="1">
      <alignment horizontal="center"/>
    </xf>
    <xf numFmtId="0" fontId="0" fillId="25" borderId="11" xfId="0" applyFont="1" applyFill="1" applyBorder="1" applyAlignment="1">
      <alignment horizontal="right"/>
    </xf>
    <xf numFmtId="4" fontId="8" fillId="16" borderId="14" xfId="0" applyNumberFormat="1" applyFont="1" applyFill="1" applyBorder="1" applyAlignment="1">
      <alignment horizontal="center" wrapText="1"/>
    </xf>
    <xf numFmtId="0" fontId="0" fillId="25" borderId="0" xfId="0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/>
    </xf>
    <xf numFmtId="4" fontId="0" fillId="0" borderId="29" xfId="0" applyNumberFormat="1" applyFont="1" applyBorder="1" applyAlignment="1">
      <alignment horizontal="right"/>
    </xf>
    <xf numFmtId="4" fontId="8" fillId="26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0" fontId="0" fillId="0" borderId="2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4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1" fillId="0" borderId="51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4" fontId="34" fillId="0" borderId="27" xfId="34" applyNumberFormat="1" applyFont="1" applyFill="1" applyBorder="1" applyAlignment="1">
      <alignment horizontal="right" vertical="center" wrapText="1"/>
      <protection/>
    </xf>
    <xf numFmtId="4" fontId="34" fillId="0" borderId="25" xfId="34" applyNumberFormat="1" applyFont="1" applyFill="1" applyBorder="1" applyAlignment="1">
      <alignment horizontal="right" vertical="center" wrapText="1"/>
      <protection/>
    </xf>
    <xf numFmtId="4" fontId="34" fillId="0" borderId="51" xfId="34" applyNumberFormat="1" applyFont="1" applyFill="1" applyBorder="1" applyAlignment="1">
      <alignment horizontal="right" vertical="center" wrapText="1"/>
      <protection/>
    </xf>
    <xf numFmtId="4" fontId="34" fillId="0" borderId="26" xfId="34" applyNumberFormat="1" applyFont="1" applyFill="1" applyBorder="1" applyAlignment="1">
      <alignment horizontal="right" vertical="center" wrapText="1"/>
      <protection/>
    </xf>
    <xf numFmtId="4" fontId="1" fillId="0" borderId="20" xfId="0" applyNumberFormat="1" applyFont="1" applyFill="1" applyBorder="1" applyAlignment="1">
      <alignment wrapText="1"/>
    </xf>
    <xf numFmtId="0" fontId="0" fillId="0" borderId="40" xfId="0" applyFont="1" applyFill="1" applyBorder="1" applyAlignment="1">
      <alignment/>
    </xf>
    <xf numFmtId="0" fontId="1" fillId="0" borderId="4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wrapText="1"/>
    </xf>
    <xf numFmtId="0" fontId="0" fillId="0" borderId="52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 wrapText="1"/>
    </xf>
    <xf numFmtId="4" fontId="2" fillId="0" borderId="50" xfId="34" applyNumberFormat="1" applyFont="1" applyFill="1" applyBorder="1" applyAlignment="1">
      <alignment horizontal="center" vertical="center" wrapText="1"/>
      <protection/>
    </xf>
    <xf numFmtId="4" fontId="2" fillId="23" borderId="21" xfId="34" applyNumberFormat="1" applyFont="1" applyFill="1" applyBorder="1" applyAlignment="1">
      <alignment horizontal="center" vertical="center" wrapText="1"/>
      <protection/>
    </xf>
    <xf numFmtId="4" fontId="0" fillId="4" borderId="21" xfId="0" applyNumberFormat="1" applyFont="1" applyFill="1" applyBorder="1" applyAlignment="1">
      <alignment/>
    </xf>
    <xf numFmtId="4" fontId="0" fillId="25" borderId="21" xfId="0" applyNumberFormat="1" applyFont="1" applyFill="1" applyBorder="1" applyAlignment="1">
      <alignment/>
    </xf>
    <xf numFmtId="4" fontId="8" fillId="25" borderId="2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/>
    </xf>
    <xf numFmtId="4" fontId="7" fillId="0" borderId="21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4" fontId="0" fillId="0" borderId="14" xfId="0" applyNumberFormat="1" applyFont="1" applyBorder="1" applyAlignment="1">
      <alignment horizontal="center" wrapText="1"/>
    </xf>
    <xf numFmtId="4" fontId="32" fillId="3" borderId="21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171" fontId="0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45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25" borderId="46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 vertical="center" wrapText="1"/>
    </xf>
    <xf numFmtId="2" fontId="1" fillId="23" borderId="17" xfId="0" applyNumberFormat="1" applyFont="1" applyFill="1" applyBorder="1" applyAlignment="1">
      <alignment horizontal="center" vertical="center" wrapText="1"/>
    </xf>
    <xf numFmtId="2" fontId="1" fillId="23" borderId="38" xfId="0" applyNumberFormat="1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textRotation="90"/>
    </xf>
    <xf numFmtId="0" fontId="1" fillId="25" borderId="38" xfId="0" applyFont="1" applyFill="1" applyBorder="1" applyAlignment="1">
      <alignment horizontal="center" textRotation="90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26" borderId="54" xfId="0" applyNumberFormat="1" applyFont="1" applyFill="1" applyBorder="1" applyAlignment="1">
      <alignment horizontal="center" vertical="center" wrapText="1"/>
    </xf>
    <xf numFmtId="2" fontId="1" fillId="26" borderId="37" xfId="0" applyNumberFormat="1" applyFont="1" applyFill="1" applyBorder="1" applyAlignment="1">
      <alignment horizontal="center" vertical="center" wrapText="1"/>
    </xf>
    <xf numFmtId="2" fontId="1" fillId="26" borderId="38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23" borderId="46" xfId="0" applyNumberFormat="1" applyFont="1" applyFill="1" applyBorder="1" applyAlignment="1">
      <alignment horizontal="center" vertical="center" wrapText="1"/>
    </xf>
    <xf numFmtId="2" fontId="1" fillId="23" borderId="11" xfId="0" applyNumberFormat="1" applyFont="1" applyFill="1" applyBorder="1" applyAlignment="1">
      <alignment horizontal="center" vertical="center" wrapText="1"/>
    </xf>
    <xf numFmtId="2" fontId="1" fillId="23" borderId="16" xfId="0" applyNumberFormat="1" applyFont="1" applyFill="1" applyBorder="1" applyAlignment="1">
      <alignment horizontal="center" vertical="center" wrapText="1"/>
    </xf>
    <xf numFmtId="0" fontId="1" fillId="25" borderId="46" xfId="0" applyFont="1" applyFill="1" applyBorder="1" applyAlignment="1">
      <alignment horizontal="center" vertical="center" wrapText="1"/>
    </xf>
    <xf numFmtId="0" fontId="1" fillId="23" borderId="46" xfId="0" applyFont="1" applyFill="1" applyBorder="1" applyAlignment="1">
      <alignment horizontal="center"/>
    </xf>
    <xf numFmtId="0" fontId="1" fillId="23" borderId="11" xfId="0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 vertical="center" wrapText="1"/>
    </xf>
    <xf numFmtId="2" fontId="1" fillId="4" borderId="38" xfId="0" applyNumberFormat="1" applyFont="1" applyFill="1" applyBorder="1" applyAlignment="1">
      <alignment horizontal="center" vertical="center" wrapText="1"/>
    </xf>
    <xf numFmtId="2" fontId="1" fillId="25" borderId="36" xfId="0" applyNumberFormat="1" applyFont="1" applyFill="1" applyBorder="1" applyAlignment="1">
      <alignment horizontal="center" vertical="center" wrapText="1"/>
    </xf>
    <xf numFmtId="2" fontId="1" fillId="25" borderId="34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4" borderId="36" xfId="0" applyNumberFormat="1" applyFont="1" applyFill="1" applyBorder="1" applyAlignment="1">
      <alignment horizontal="center" vertical="center" wrapText="1"/>
    </xf>
    <xf numFmtId="2" fontId="1" fillId="4" borderId="34" xfId="0" applyNumberFormat="1" applyFont="1" applyFill="1" applyBorder="1" applyAlignment="1">
      <alignment horizontal="center" vertical="center" wrapText="1"/>
    </xf>
    <xf numFmtId="2" fontId="1" fillId="25" borderId="56" xfId="0" applyNumberFormat="1" applyFont="1" applyFill="1" applyBorder="1" applyAlignment="1">
      <alignment horizontal="center" vertical="center" wrapText="1"/>
    </xf>
    <xf numFmtId="2" fontId="1" fillId="25" borderId="57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23" borderId="0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24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63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24" xfId="0" applyNumberFormat="1" applyFont="1" applyFill="1" applyBorder="1" applyAlignment="1">
      <alignment horizontal="center" vertical="center" textRotation="90" wrapText="1"/>
    </xf>
    <xf numFmtId="4" fontId="1" fillId="0" borderId="35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28" fillId="0" borderId="36" xfId="0" applyNumberFormat="1" applyFont="1" applyFill="1" applyBorder="1" applyAlignment="1">
      <alignment horizontal="center" vertical="center" wrapText="1"/>
    </xf>
    <xf numFmtId="2" fontId="28" fillId="0" borderId="67" xfId="0" applyNumberFormat="1" applyFont="1" applyFill="1" applyBorder="1" applyAlignment="1">
      <alignment horizontal="center" vertical="center" wrapText="1"/>
    </xf>
    <xf numFmtId="2" fontId="28" fillId="0" borderId="34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 wrapText="1"/>
    </xf>
    <xf numFmtId="2" fontId="1" fillId="23" borderId="69" xfId="0" applyNumberFormat="1" applyFont="1" applyFill="1" applyBorder="1" applyAlignment="1">
      <alignment horizontal="center" vertical="center" wrapText="1"/>
    </xf>
    <xf numFmtId="2" fontId="1" fillId="23" borderId="70" xfId="0" applyNumberFormat="1" applyFont="1" applyFill="1" applyBorder="1" applyAlignment="1">
      <alignment horizontal="center" vertical="center" wrapText="1"/>
    </xf>
    <xf numFmtId="2" fontId="29" fillId="0" borderId="36" xfId="0" applyNumberFormat="1" applyFont="1" applyFill="1" applyBorder="1" applyAlignment="1">
      <alignment horizontal="center" vertical="center" wrapText="1"/>
    </xf>
    <xf numFmtId="2" fontId="29" fillId="0" borderId="34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26" borderId="36" xfId="0" applyNumberFormat="1" applyFont="1" applyFill="1" applyBorder="1" applyAlignment="1">
      <alignment horizontal="center" vertical="center" wrapText="1"/>
    </xf>
    <xf numFmtId="2" fontId="1" fillId="26" borderId="34" xfId="0" applyNumberFormat="1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67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2" fontId="1" fillId="23" borderId="60" xfId="0" applyNumberFormat="1" applyFont="1" applyFill="1" applyBorder="1" applyAlignment="1">
      <alignment horizontal="center" vertical="center" wrapText="1"/>
    </xf>
    <xf numFmtId="2" fontId="1" fillId="23" borderId="71" xfId="0" applyNumberFormat="1" applyFont="1" applyFill="1" applyBorder="1" applyAlignment="1">
      <alignment horizontal="center" vertical="center" wrapText="1"/>
    </xf>
    <xf numFmtId="2" fontId="1" fillId="23" borderId="56" xfId="0" applyNumberFormat="1" applyFont="1" applyFill="1" applyBorder="1" applyAlignment="1">
      <alignment horizontal="center" vertical="center" wrapText="1"/>
    </xf>
    <xf numFmtId="2" fontId="1" fillId="23" borderId="57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4" fontId="1" fillId="0" borderId="67" xfId="0" applyNumberFormat="1" applyFont="1" applyFill="1" applyBorder="1" applyAlignment="1">
      <alignment horizontal="center" vertical="center" wrapText="1"/>
    </xf>
    <xf numFmtId="4" fontId="1" fillId="0" borderId="65" xfId="0" applyNumberFormat="1" applyFont="1" applyFill="1" applyBorder="1" applyAlignment="1">
      <alignment horizontal="center" vertical="center" wrapText="1"/>
    </xf>
    <xf numFmtId="4" fontId="1" fillId="0" borderId="62" xfId="0" applyNumberFormat="1" applyFont="1" applyFill="1" applyBorder="1" applyAlignment="1">
      <alignment horizontal="center" vertical="center" wrapText="1"/>
    </xf>
    <xf numFmtId="4" fontId="1" fillId="23" borderId="36" xfId="0" applyNumberFormat="1" applyFont="1" applyFill="1" applyBorder="1" applyAlignment="1">
      <alignment horizontal="center" vertical="center" wrapText="1"/>
    </xf>
    <xf numFmtId="4" fontId="1" fillId="23" borderId="67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textRotation="90"/>
    </xf>
    <xf numFmtId="0" fontId="1" fillId="0" borderId="34" xfId="0" applyFont="1" applyFill="1" applyBorder="1" applyAlignment="1">
      <alignment horizontal="center" textRotation="90"/>
    </xf>
    <xf numFmtId="0" fontId="1" fillId="7" borderId="36" xfId="0" applyFont="1" applyFill="1" applyBorder="1" applyAlignment="1">
      <alignment horizontal="center" textRotation="90"/>
    </xf>
    <xf numFmtId="0" fontId="1" fillId="7" borderId="34" xfId="0" applyFont="1" applyFill="1" applyBorder="1" applyAlignment="1">
      <alignment horizontal="center" textRotation="90"/>
    </xf>
    <xf numFmtId="0" fontId="1" fillId="3" borderId="69" xfId="0" applyFont="1" applyFill="1" applyBorder="1" applyAlignment="1">
      <alignment horizontal="center" vertical="center" wrapText="1"/>
    </xf>
    <xf numFmtId="0" fontId="1" fillId="3" borderId="75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/>
    </xf>
    <xf numFmtId="2" fontId="0" fillId="0" borderId="5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69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1" fillId="0" borderId="69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0" fontId="1" fillId="0" borderId="66" xfId="0" applyFont="1" applyFill="1" applyBorder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S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9;&#1074;&#1072;&#1083;&#1100;&#1085;&#1072;&#1103;,%208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42;&#1099;&#1087;&#1080;&#1089;&#1082;&#1080;%202010%20&#1075;&#1086;&#1076;\&#1058;&#1072;&#1096;&#1090;&#1072;&#1075;&#1086;&#1083;\&#1051;&#1080;&#1094;&#1077;&#1074;&#1086;&#1081;%20&#1089;&#1095;&#1077;&#1090;%20&#1041;&#1072;&#1091;&#1084;&#1072;&#1085;&#1072;,%204%20&#1089;%20201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2011 полн."/>
      <sheetName val="2011 печать"/>
    </sheetNames>
    <sheetDataSet>
      <sheetData sheetId="0">
        <row r="9">
          <cell r="B9">
            <v>347</v>
          </cell>
          <cell r="D9">
            <v>375.19375</v>
          </cell>
          <cell r="S9">
            <v>1402.63</v>
          </cell>
          <cell r="T9">
            <v>770.85</v>
          </cell>
          <cell r="AB9">
            <v>1205.52</v>
          </cell>
          <cell r="AC9">
            <v>2351.5637500000003</v>
          </cell>
          <cell r="AG9">
            <v>187.38</v>
          </cell>
          <cell r="AH9">
            <v>61.83540000000001</v>
          </cell>
          <cell r="AI9">
            <v>255.70164999999997</v>
          </cell>
          <cell r="AJ9">
            <v>46.02629699999999</v>
          </cell>
          <cell r="AK9">
            <v>250.16548600000002</v>
          </cell>
          <cell r="AL9">
            <v>45.02978748</v>
          </cell>
          <cell r="AM9">
            <v>575.682022</v>
          </cell>
          <cell r="AN9">
            <v>103.62276395999999</v>
          </cell>
          <cell r="AP9">
            <v>0</v>
          </cell>
          <cell r="AR9">
            <v>0</v>
          </cell>
          <cell r="AU9">
            <v>0</v>
          </cell>
          <cell r="AX9">
            <v>100.70592</v>
          </cell>
          <cell r="BA9">
            <v>0</v>
          </cell>
          <cell r="BB9">
            <v>1525.4434064399998</v>
          </cell>
          <cell r="BD9">
            <v>826.1203435600005</v>
          </cell>
          <cell r="BE9">
            <v>-197.11000000000013</v>
          </cell>
        </row>
        <row r="10">
          <cell r="B10">
            <v>347</v>
          </cell>
          <cell r="D10">
            <v>375.19375</v>
          </cell>
          <cell r="S10">
            <v>1402.63</v>
          </cell>
          <cell r="T10">
            <v>770.85</v>
          </cell>
          <cell r="AB10">
            <v>1141.3000000000002</v>
          </cell>
          <cell r="AC10">
            <v>2287.34375</v>
          </cell>
          <cell r="AG10">
            <v>187.38</v>
          </cell>
          <cell r="AH10">
            <v>63.521820000000005</v>
          </cell>
          <cell r="AI10">
            <v>255.42669999999998</v>
          </cell>
          <cell r="AJ10">
            <v>45.976805999999996</v>
          </cell>
          <cell r="AK10">
            <v>250.136685</v>
          </cell>
          <cell r="AL10">
            <v>45.024603299999995</v>
          </cell>
          <cell r="AM10">
            <v>575.5494679999999</v>
          </cell>
          <cell r="AN10">
            <v>103.59890423999998</v>
          </cell>
          <cell r="AP10">
            <v>0</v>
          </cell>
          <cell r="AR10">
            <v>0</v>
          </cell>
          <cell r="AS10">
            <v>1330</v>
          </cell>
          <cell r="AU10">
            <v>239.39999999999998</v>
          </cell>
          <cell r="AX10">
            <v>80.68368</v>
          </cell>
          <cell r="BA10">
            <v>0</v>
          </cell>
          <cell r="BB10">
            <v>3096.0149865399994</v>
          </cell>
          <cell r="BD10">
            <v>-808.6712365399994</v>
          </cell>
          <cell r="BE10">
            <v>-261.3299999999999</v>
          </cell>
        </row>
        <row r="11">
          <cell r="B11">
            <v>347</v>
          </cell>
          <cell r="D11">
            <v>375.19375</v>
          </cell>
          <cell r="S11">
            <v>1402.63</v>
          </cell>
          <cell r="T11">
            <v>770.85</v>
          </cell>
          <cell r="AB11">
            <v>1864.7600000000002</v>
          </cell>
          <cell r="AC11">
            <v>3010.80375</v>
          </cell>
          <cell r="AG11">
            <v>187.38</v>
          </cell>
          <cell r="AH11">
            <v>63.01908000000001</v>
          </cell>
          <cell r="AI11">
            <v>255.879125</v>
          </cell>
          <cell r="AJ11">
            <v>46.0582425</v>
          </cell>
          <cell r="AK11">
            <v>241.35237999999998</v>
          </cell>
          <cell r="AL11">
            <v>43.443428399999995</v>
          </cell>
          <cell r="AM11">
            <v>555.40126</v>
          </cell>
          <cell r="AN11">
            <v>99.97222679999999</v>
          </cell>
          <cell r="AP11">
            <v>0</v>
          </cell>
          <cell r="AR11">
            <v>0</v>
          </cell>
          <cell r="AU11">
            <v>0</v>
          </cell>
          <cell r="AX11">
            <v>75.92592</v>
          </cell>
          <cell r="BB11">
            <v>1492.5057427</v>
          </cell>
          <cell r="BD11">
            <v>1518.2980073</v>
          </cell>
          <cell r="BE11">
            <v>462.1300000000001</v>
          </cell>
        </row>
        <row r="12">
          <cell r="B12">
            <v>347</v>
          </cell>
          <cell r="D12">
            <v>375.19375</v>
          </cell>
          <cell r="S12">
            <v>1401.9099999999999</v>
          </cell>
          <cell r="T12">
            <v>770.85</v>
          </cell>
          <cell r="AB12">
            <v>1402.6</v>
          </cell>
          <cell r="AC12">
            <v>2548.64375</v>
          </cell>
          <cell r="AG12">
            <v>187.38</v>
          </cell>
          <cell r="AH12">
            <v>64.08396</v>
          </cell>
          <cell r="AI12">
            <v>263.39035</v>
          </cell>
          <cell r="AJ12">
            <v>47.410263</v>
          </cell>
          <cell r="AK12">
            <v>244.75089799999998</v>
          </cell>
          <cell r="AL12">
            <v>44.055161639999994</v>
          </cell>
          <cell r="AM12">
            <v>563.221946</v>
          </cell>
          <cell r="AN12">
            <v>101.37995028</v>
          </cell>
          <cell r="AP12">
            <v>0</v>
          </cell>
          <cell r="AR12">
            <v>0</v>
          </cell>
          <cell r="AS12">
            <v>0</v>
          </cell>
          <cell r="AU12">
            <v>0</v>
          </cell>
          <cell r="AX12">
            <v>60.85968</v>
          </cell>
          <cell r="BA12">
            <v>0</v>
          </cell>
          <cell r="BB12">
            <v>1833.8477289200002</v>
          </cell>
          <cell r="BD12">
            <v>714.79602108</v>
          </cell>
          <cell r="BE12">
            <v>0.6900000000000546</v>
          </cell>
        </row>
        <row r="13">
          <cell r="B13">
            <v>347</v>
          </cell>
          <cell r="D13">
            <v>577.8599999999997</v>
          </cell>
          <cell r="S13">
            <v>1563.57</v>
          </cell>
          <cell r="T13">
            <v>860.12</v>
          </cell>
          <cell r="AB13">
            <v>1101.03</v>
          </cell>
          <cell r="AC13">
            <v>2539.0099999999993</v>
          </cell>
          <cell r="AG13">
            <v>208.2</v>
          </cell>
          <cell r="AH13">
            <v>70.09400000000001</v>
          </cell>
          <cell r="AI13">
            <v>294.95</v>
          </cell>
          <cell r="AJ13">
            <v>53.090999999999994</v>
          </cell>
          <cell r="AK13">
            <v>288.01</v>
          </cell>
          <cell r="AL13">
            <v>51.8418</v>
          </cell>
          <cell r="AM13">
            <v>662.77</v>
          </cell>
          <cell r="AN13">
            <v>119.2986</v>
          </cell>
          <cell r="AP13">
            <v>0</v>
          </cell>
          <cell r="AR13">
            <v>0</v>
          </cell>
          <cell r="AU13">
            <v>0</v>
          </cell>
          <cell r="AX13">
            <v>52.137119999999996</v>
          </cell>
          <cell r="BA13">
            <v>0</v>
          </cell>
          <cell r="BB13">
            <v>1800.3925199999999</v>
          </cell>
          <cell r="BD13">
            <v>738.6174799999994</v>
          </cell>
          <cell r="BE13">
            <v>-462.53999999999996</v>
          </cell>
        </row>
        <row r="14">
          <cell r="B14">
            <v>347</v>
          </cell>
          <cell r="D14">
            <v>577.73</v>
          </cell>
          <cell r="S14">
            <v>1563.7</v>
          </cell>
          <cell r="T14">
            <v>860.12</v>
          </cell>
          <cell r="AB14">
            <v>1864.8400000000001</v>
          </cell>
          <cell r="AC14">
            <v>3302.69</v>
          </cell>
          <cell r="AG14">
            <v>208.2</v>
          </cell>
          <cell r="AH14">
            <v>70.12523000000002</v>
          </cell>
          <cell r="AI14">
            <v>294.95</v>
          </cell>
          <cell r="AJ14">
            <v>53.090999999999994</v>
          </cell>
          <cell r="AK14">
            <v>288.01</v>
          </cell>
          <cell r="AL14">
            <v>51.8418</v>
          </cell>
          <cell r="AM14">
            <v>662.77</v>
          </cell>
          <cell r="AN14">
            <v>119.2986</v>
          </cell>
          <cell r="AP14">
            <v>0</v>
          </cell>
          <cell r="AR14">
            <v>0</v>
          </cell>
          <cell r="AU14">
            <v>0</v>
          </cell>
          <cell r="AX14">
            <v>46.189919999999994</v>
          </cell>
          <cell r="BA14">
            <v>0</v>
          </cell>
          <cell r="BB14">
            <v>1794.47655</v>
          </cell>
          <cell r="BD14">
            <v>1508.21345</v>
          </cell>
          <cell r="BE14">
            <v>301.1400000000001</v>
          </cell>
        </row>
        <row r="15">
          <cell r="B15">
            <v>347</v>
          </cell>
          <cell r="D15">
            <v>595.9700000000003</v>
          </cell>
          <cell r="S15">
            <v>1553.6399999999999</v>
          </cell>
          <cell r="T15">
            <v>851.9399999999999</v>
          </cell>
          <cell r="AB15">
            <v>1230.87</v>
          </cell>
          <cell r="AC15">
            <v>2678.78</v>
          </cell>
          <cell r="AG15">
            <v>208.2</v>
          </cell>
          <cell r="AH15">
            <v>69.00095</v>
          </cell>
          <cell r="AI15">
            <v>290.76171</v>
          </cell>
          <cell r="AJ15">
            <v>52.3371078</v>
          </cell>
          <cell r="AK15">
            <v>285.273905</v>
          </cell>
          <cell r="AL15">
            <v>51.3493029</v>
          </cell>
          <cell r="AM15">
            <v>656.4074079999999</v>
          </cell>
          <cell r="AN15">
            <v>118.15333343999998</v>
          </cell>
          <cell r="AP15">
            <v>0</v>
          </cell>
          <cell r="AR15">
            <v>0</v>
          </cell>
          <cell r="AU15">
            <v>0</v>
          </cell>
          <cell r="AX15">
            <v>49.16352</v>
          </cell>
          <cell r="BA15">
            <v>0</v>
          </cell>
          <cell r="BB15">
            <v>1780.64723714</v>
          </cell>
          <cell r="BD15">
            <v>898.1327628600002</v>
          </cell>
          <cell r="BE15">
            <v>-322.77</v>
          </cell>
        </row>
        <row r="16">
          <cell r="B16">
            <v>347</v>
          </cell>
          <cell r="D16">
            <v>577.73</v>
          </cell>
          <cell r="S16">
            <v>1563.7</v>
          </cell>
          <cell r="T16">
            <v>860.12</v>
          </cell>
          <cell r="AB16">
            <v>1843.1499999999999</v>
          </cell>
          <cell r="AC16">
            <v>3281</v>
          </cell>
          <cell r="AG16">
            <v>208.2</v>
          </cell>
          <cell r="AH16">
            <v>69.313944</v>
          </cell>
          <cell r="AI16">
            <v>290.59948749999995</v>
          </cell>
          <cell r="AJ16">
            <v>52.30790774999999</v>
          </cell>
          <cell r="AK16">
            <v>285.12989999999996</v>
          </cell>
          <cell r="AL16">
            <v>51.32338199999999</v>
          </cell>
          <cell r="AM16">
            <v>656.076023</v>
          </cell>
          <cell r="AN16">
            <v>118.09368414</v>
          </cell>
          <cell r="AP16">
            <v>0</v>
          </cell>
          <cell r="AR16">
            <v>0</v>
          </cell>
          <cell r="AU16">
            <v>0</v>
          </cell>
          <cell r="AX16">
            <v>58.08431999999999</v>
          </cell>
          <cell r="BA16">
            <v>0</v>
          </cell>
          <cell r="BB16">
            <v>1789.1286483900003</v>
          </cell>
          <cell r="BD16">
            <v>1491.8713516099997</v>
          </cell>
          <cell r="BE16">
            <v>279.4499999999998</v>
          </cell>
        </row>
        <row r="17">
          <cell r="B17">
            <v>347</v>
          </cell>
          <cell r="D17">
            <v>577.73</v>
          </cell>
          <cell r="S17">
            <v>1563.7</v>
          </cell>
          <cell r="T17">
            <v>860.12</v>
          </cell>
          <cell r="AB17">
            <v>1231.0300000000002</v>
          </cell>
          <cell r="AC17">
            <v>2668.88</v>
          </cell>
          <cell r="AG17">
            <v>208.2</v>
          </cell>
          <cell r="AH17">
            <v>69.37224</v>
          </cell>
          <cell r="AI17">
            <v>290.54934599999996</v>
          </cell>
          <cell r="AJ17">
            <v>52.298882279999994</v>
          </cell>
          <cell r="AK17">
            <v>285.07517809999996</v>
          </cell>
          <cell r="AL17">
            <v>51.31353205799999</v>
          </cell>
          <cell r="AM17">
            <v>656.0163736999999</v>
          </cell>
          <cell r="AN17">
            <v>118.08294726599998</v>
          </cell>
          <cell r="AP17">
            <v>0</v>
          </cell>
          <cell r="AR17">
            <v>0</v>
          </cell>
          <cell r="AU17">
            <v>0</v>
          </cell>
          <cell r="AX17">
            <v>69.18576</v>
          </cell>
          <cell r="BA17">
            <v>0</v>
          </cell>
          <cell r="BB17">
            <v>1800.0942594039993</v>
          </cell>
          <cell r="BD17">
            <v>868.7857405960008</v>
          </cell>
          <cell r="BE17">
            <v>-332.66999999999985</v>
          </cell>
        </row>
        <row r="18">
          <cell r="B18">
            <v>347</v>
          </cell>
          <cell r="D18">
            <v>577.73</v>
          </cell>
          <cell r="S18">
            <v>1563.7</v>
          </cell>
          <cell r="T18">
            <v>860.12</v>
          </cell>
          <cell r="AB18">
            <v>1939.5499999999997</v>
          </cell>
          <cell r="AC18">
            <v>3377.3999999999996</v>
          </cell>
          <cell r="AG18">
            <v>208.2</v>
          </cell>
          <cell r="AH18">
            <v>69.4</v>
          </cell>
          <cell r="AI18">
            <v>293.909</v>
          </cell>
          <cell r="AJ18">
            <v>52.90362</v>
          </cell>
          <cell r="AK18">
            <v>288.01</v>
          </cell>
          <cell r="AL18">
            <v>51.8418</v>
          </cell>
          <cell r="AM18">
            <v>661.6525423728814</v>
          </cell>
          <cell r="AN18">
            <v>119.09745762711864</v>
          </cell>
          <cell r="AP18">
            <v>0</v>
          </cell>
          <cell r="AR18">
            <v>0</v>
          </cell>
          <cell r="AS18">
            <v>0</v>
          </cell>
          <cell r="AU18">
            <v>0</v>
          </cell>
          <cell r="AX18">
            <v>84.252</v>
          </cell>
          <cell r="BA18">
            <v>0</v>
          </cell>
          <cell r="BB18">
            <v>1829.2664200000002</v>
          </cell>
          <cell r="BD18">
            <v>1548.1335799999995</v>
          </cell>
          <cell r="BE18">
            <v>375.8499999999997</v>
          </cell>
        </row>
        <row r="19">
          <cell r="B19">
            <v>347</v>
          </cell>
          <cell r="D19">
            <v>577.73</v>
          </cell>
          <cell r="S19">
            <v>1563.7</v>
          </cell>
          <cell r="T19">
            <v>860.12</v>
          </cell>
          <cell r="AB19">
            <v>1230.9</v>
          </cell>
          <cell r="AC19">
            <v>2668.75</v>
          </cell>
          <cell r="AG19">
            <v>208.2</v>
          </cell>
          <cell r="AH19">
            <v>69.4</v>
          </cell>
          <cell r="AI19">
            <v>294.95</v>
          </cell>
          <cell r="AJ19">
            <v>53.090999999999994</v>
          </cell>
          <cell r="AK19">
            <v>288.01</v>
          </cell>
          <cell r="AL19">
            <v>51.8418</v>
          </cell>
          <cell r="AM19">
            <v>662.77</v>
          </cell>
          <cell r="AN19">
            <v>119.2986</v>
          </cell>
          <cell r="AP19">
            <v>0</v>
          </cell>
          <cell r="AR19">
            <v>0</v>
          </cell>
          <cell r="AS19">
            <v>0</v>
          </cell>
          <cell r="AU19">
            <v>0</v>
          </cell>
          <cell r="AX19">
            <v>93.17280000000001</v>
          </cell>
          <cell r="BA19">
            <v>0</v>
          </cell>
          <cell r="BB19">
            <v>1840.7342</v>
          </cell>
          <cell r="BD19">
            <v>828.0157999999999</v>
          </cell>
          <cell r="BE19">
            <v>-332.79999999999995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екущий ремонт"/>
      <sheetName val="Лист3"/>
      <sheetName val="Лист2 (2)"/>
    </sheetNames>
    <sheetDataSet>
      <sheetData sheetId="0">
        <row r="9">
          <cell r="AX9">
            <v>0</v>
          </cell>
          <cell r="BE9">
            <v>-1488.26</v>
          </cell>
        </row>
        <row r="10">
          <cell r="AX10">
            <v>0</v>
          </cell>
          <cell r="BE10">
            <v>-534.4700000000001</v>
          </cell>
        </row>
        <row r="11">
          <cell r="AX11">
            <v>0</v>
          </cell>
          <cell r="BE11">
            <v>-593.6499999999999</v>
          </cell>
        </row>
        <row r="14">
          <cell r="BE14">
            <v>-1725.5699999999997</v>
          </cell>
        </row>
        <row r="15">
          <cell r="BE15">
            <v>-1513.3600000000006</v>
          </cell>
        </row>
        <row r="16">
          <cell r="BE16">
            <v>-300.96000000000004</v>
          </cell>
        </row>
        <row r="17">
          <cell r="BE17">
            <v>-3647.01</v>
          </cell>
        </row>
        <row r="18">
          <cell r="BE18">
            <v>1254.6399999999985</v>
          </cell>
        </row>
        <row r="19">
          <cell r="BE19">
            <v>6414.9</v>
          </cell>
        </row>
        <row r="20">
          <cell r="BE20">
            <v>1240.369999999999</v>
          </cell>
        </row>
        <row r="21">
          <cell r="BE21">
            <v>-3555.2300000000005</v>
          </cell>
        </row>
        <row r="22">
          <cell r="BE22">
            <v>-2004.1000000000004</v>
          </cell>
        </row>
        <row r="23">
          <cell r="BE23">
            <v>-16630.94</v>
          </cell>
        </row>
        <row r="24">
          <cell r="BE24">
            <v>3842.5499999999956</v>
          </cell>
        </row>
        <row r="25">
          <cell r="BE25">
            <v>-9876.1</v>
          </cell>
        </row>
        <row r="42">
          <cell r="C42">
            <v>87934.17</v>
          </cell>
          <cell r="D42">
            <v>83212.24381670001</v>
          </cell>
          <cell r="AD42">
            <v>201902.91</v>
          </cell>
          <cell r="AG42">
            <v>6009.143999999999</v>
          </cell>
          <cell r="AH42">
            <v>2013.5788567999998</v>
          </cell>
          <cell r="AI42">
            <v>8390.960919000001</v>
          </cell>
          <cell r="AJ42">
            <v>832.8529654199999</v>
          </cell>
          <cell r="AK42">
            <v>8371.02277948</v>
          </cell>
          <cell r="AL42">
            <v>842.8145003063999</v>
          </cell>
          <cell r="AM42">
            <v>18721.33696414678</v>
          </cell>
          <cell r="AN42">
            <v>1845.4206535464202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8"/>
  <sheetViews>
    <sheetView zoomScalePageLayoutView="0" workbookViewId="0" topLeftCell="A1">
      <pane xSplit="1" ySplit="6" topLeftCell="AK2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P35" sqref="AP35"/>
    </sheetView>
  </sheetViews>
  <sheetFormatPr defaultColWidth="9.00390625" defaultRowHeight="12.75"/>
  <cols>
    <col min="15" max="15" width="11.00390625" style="0" customWidth="1"/>
    <col min="19" max="19" width="11.75390625" style="0" customWidth="1"/>
    <col min="26" max="26" width="10.125" style="0" bestFit="1" customWidth="1"/>
    <col min="28" max="29" width="11.25390625" style="0" customWidth="1"/>
    <col min="30" max="30" width="11.375" style="0" customWidth="1"/>
    <col min="42" max="43" width="9.25390625" style="2" customWidth="1"/>
    <col min="44" max="44" width="10.125" style="2" bestFit="1" customWidth="1"/>
    <col min="45" max="45" width="10.125" style="2" customWidth="1"/>
    <col min="46" max="46" width="9.25390625" style="2" bestFit="1" customWidth="1"/>
    <col min="47" max="47" width="9.25390625" style="2" customWidth="1"/>
    <col min="48" max="48" width="11.125" style="2" customWidth="1"/>
    <col min="49" max="49" width="10.625" style="2" customWidth="1"/>
    <col min="53" max="53" width="11.875" style="0" customWidth="1"/>
    <col min="54" max="55" width="10.75390625" style="2" customWidth="1"/>
    <col min="56" max="56" width="14.00390625" style="2" customWidth="1"/>
  </cols>
  <sheetData>
    <row r="1" spans="1:53" ht="15.75">
      <c r="A1" s="328" t="s">
        <v>113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X1" s="2"/>
      <c r="AY1" s="2"/>
      <c r="AZ1" s="2"/>
      <c r="BA1" s="2"/>
    </row>
    <row r="2" spans="1:53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X2" s="2"/>
      <c r="AY2" s="2"/>
      <c r="AZ2" s="2"/>
      <c r="BA2" s="2"/>
    </row>
    <row r="3" spans="1:56" ht="12.75" customHeight="1">
      <c r="A3" s="329" t="s">
        <v>0</v>
      </c>
      <c r="B3" s="332" t="s">
        <v>1</v>
      </c>
      <c r="C3" s="332" t="s">
        <v>2</v>
      </c>
      <c r="D3" s="332" t="s">
        <v>3</v>
      </c>
      <c r="E3" s="335" t="s">
        <v>4</v>
      </c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54" t="s">
        <v>5</v>
      </c>
      <c r="T3" s="354"/>
      <c r="U3" s="355" t="s">
        <v>6</v>
      </c>
      <c r="V3" s="355"/>
      <c r="W3" s="355"/>
      <c r="X3" s="355"/>
      <c r="Y3" s="355"/>
      <c r="Z3" s="355"/>
      <c r="AA3" s="355"/>
      <c r="AB3" s="355"/>
      <c r="AC3" s="351" t="s">
        <v>7</v>
      </c>
      <c r="AD3" s="351" t="s">
        <v>8</v>
      </c>
      <c r="AE3" s="351" t="s">
        <v>9</v>
      </c>
      <c r="AF3" s="341" t="s">
        <v>10</v>
      </c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3" t="s">
        <v>102</v>
      </c>
      <c r="BC3" s="346" t="s">
        <v>11</v>
      </c>
      <c r="BD3" s="325" t="s">
        <v>12</v>
      </c>
    </row>
    <row r="4" spans="1:56" ht="13.5" customHeight="1" thickBot="1">
      <c r="A4" s="330"/>
      <c r="B4" s="333"/>
      <c r="C4" s="333"/>
      <c r="D4" s="333"/>
      <c r="E4" s="336" t="s">
        <v>13</v>
      </c>
      <c r="F4" s="336"/>
      <c r="G4" s="336" t="s">
        <v>14</v>
      </c>
      <c r="H4" s="336"/>
      <c r="I4" s="336" t="s">
        <v>15</v>
      </c>
      <c r="J4" s="336"/>
      <c r="K4" s="336" t="s">
        <v>16</v>
      </c>
      <c r="L4" s="336"/>
      <c r="M4" s="336" t="s">
        <v>17</v>
      </c>
      <c r="N4" s="336"/>
      <c r="O4" s="336" t="s">
        <v>18</v>
      </c>
      <c r="P4" s="336"/>
      <c r="Q4" s="336" t="s">
        <v>19</v>
      </c>
      <c r="R4" s="336"/>
      <c r="S4" s="336"/>
      <c r="T4" s="336"/>
      <c r="U4" s="356"/>
      <c r="V4" s="356"/>
      <c r="W4" s="356"/>
      <c r="X4" s="356"/>
      <c r="Y4" s="356"/>
      <c r="Z4" s="356"/>
      <c r="AA4" s="356"/>
      <c r="AB4" s="356"/>
      <c r="AC4" s="352"/>
      <c r="AD4" s="352"/>
      <c r="AE4" s="35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4"/>
      <c r="BC4" s="347"/>
      <c r="BD4" s="326"/>
    </row>
    <row r="5" spans="1:56" ht="13.5" customHeight="1" thickBot="1">
      <c r="A5" s="330"/>
      <c r="B5" s="333"/>
      <c r="C5" s="333"/>
      <c r="D5" s="333"/>
      <c r="E5" s="339" t="s">
        <v>20</v>
      </c>
      <c r="F5" s="339" t="s">
        <v>21</v>
      </c>
      <c r="G5" s="339" t="s">
        <v>20</v>
      </c>
      <c r="H5" s="339" t="s">
        <v>21</v>
      </c>
      <c r="I5" s="339" t="s">
        <v>20</v>
      </c>
      <c r="J5" s="339" t="s">
        <v>21</v>
      </c>
      <c r="K5" s="339" t="s">
        <v>20</v>
      </c>
      <c r="L5" s="339" t="s">
        <v>21</v>
      </c>
      <c r="M5" s="339" t="s">
        <v>20</v>
      </c>
      <c r="N5" s="339" t="s">
        <v>21</v>
      </c>
      <c r="O5" s="339" t="s">
        <v>20</v>
      </c>
      <c r="P5" s="339" t="s">
        <v>21</v>
      </c>
      <c r="Q5" s="339" t="s">
        <v>20</v>
      </c>
      <c r="R5" s="339" t="s">
        <v>21</v>
      </c>
      <c r="S5" s="339" t="s">
        <v>20</v>
      </c>
      <c r="T5" s="339" t="s">
        <v>21</v>
      </c>
      <c r="U5" s="337" t="s">
        <v>22</v>
      </c>
      <c r="V5" s="337" t="s">
        <v>23</v>
      </c>
      <c r="W5" s="337" t="s">
        <v>24</v>
      </c>
      <c r="X5" s="337" t="s">
        <v>25</v>
      </c>
      <c r="Y5" s="337" t="s">
        <v>26</v>
      </c>
      <c r="Z5" s="337" t="s">
        <v>27</v>
      </c>
      <c r="AA5" s="337" t="s">
        <v>28</v>
      </c>
      <c r="AB5" s="337" t="s">
        <v>29</v>
      </c>
      <c r="AC5" s="352"/>
      <c r="AD5" s="352"/>
      <c r="AE5" s="352"/>
      <c r="AF5" s="349" t="s">
        <v>30</v>
      </c>
      <c r="AG5" s="349" t="s">
        <v>31</v>
      </c>
      <c r="AH5" s="349" t="s">
        <v>32</v>
      </c>
      <c r="AI5" s="349" t="s">
        <v>33</v>
      </c>
      <c r="AJ5" s="349" t="s">
        <v>34</v>
      </c>
      <c r="AK5" s="349" t="s">
        <v>33</v>
      </c>
      <c r="AL5" s="349" t="s">
        <v>35</v>
      </c>
      <c r="AM5" s="349" t="s">
        <v>33</v>
      </c>
      <c r="AN5" s="349" t="s">
        <v>36</v>
      </c>
      <c r="AO5" s="349" t="s">
        <v>33</v>
      </c>
      <c r="AP5" s="357" t="s">
        <v>75</v>
      </c>
      <c r="AQ5" s="366" t="s">
        <v>33</v>
      </c>
      <c r="AR5" s="368" t="s">
        <v>81</v>
      </c>
      <c r="AS5" s="359" t="s">
        <v>80</v>
      </c>
      <c r="AT5" s="359" t="s">
        <v>33</v>
      </c>
      <c r="AU5" s="361" t="s">
        <v>76</v>
      </c>
      <c r="AV5" s="362"/>
      <c r="AW5" s="363"/>
      <c r="AX5" s="364" t="s">
        <v>19</v>
      </c>
      <c r="AY5" s="349" t="s">
        <v>38</v>
      </c>
      <c r="AZ5" s="349" t="s">
        <v>33</v>
      </c>
      <c r="BA5" s="349" t="s">
        <v>39</v>
      </c>
      <c r="BB5" s="344"/>
      <c r="BC5" s="347"/>
      <c r="BD5" s="326"/>
    </row>
    <row r="6" spans="1:56" ht="51" customHeight="1" thickBot="1">
      <c r="A6" s="331"/>
      <c r="B6" s="334"/>
      <c r="C6" s="334"/>
      <c r="D6" s="334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38"/>
      <c r="V6" s="338"/>
      <c r="W6" s="338"/>
      <c r="X6" s="338"/>
      <c r="Y6" s="338"/>
      <c r="Z6" s="338"/>
      <c r="AA6" s="338"/>
      <c r="AB6" s="338"/>
      <c r="AC6" s="353"/>
      <c r="AD6" s="353"/>
      <c r="AE6" s="353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8"/>
      <c r="AQ6" s="367"/>
      <c r="AR6" s="369"/>
      <c r="AS6" s="360"/>
      <c r="AT6" s="360"/>
      <c r="AU6" s="89" t="s">
        <v>77</v>
      </c>
      <c r="AV6" s="89" t="s">
        <v>78</v>
      </c>
      <c r="AW6" s="89" t="s">
        <v>79</v>
      </c>
      <c r="AX6" s="365"/>
      <c r="AY6" s="350"/>
      <c r="AZ6" s="350"/>
      <c r="BA6" s="350"/>
      <c r="BB6" s="345"/>
      <c r="BC6" s="348"/>
      <c r="BD6" s="327"/>
    </row>
    <row r="7" spans="1:56" ht="12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8">
        <v>33</v>
      </c>
      <c r="AG7" s="9">
        <v>34</v>
      </c>
      <c r="AH7" s="8">
        <v>35</v>
      </c>
      <c r="AI7" s="9">
        <v>36</v>
      </c>
      <c r="AJ7" s="8">
        <v>37</v>
      </c>
      <c r="AK7" s="9">
        <v>38</v>
      </c>
      <c r="AL7" s="8">
        <v>39</v>
      </c>
      <c r="AM7" s="9">
        <v>40</v>
      </c>
      <c r="AN7" s="8">
        <v>41</v>
      </c>
      <c r="AO7" s="9">
        <v>42</v>
      </c>
      <c r="AP7" s="8">
        <v>43</v>
      </c>
      <c r="AQ7" s="9">
        <v>44</v>
      </c>
      <c r="AR7" s="8">
        <v>45</v>
      </c>
      <c r="AS7" s="9">
        <v>46</v>
      </c>
      <c r="AT7" s="8">
        <v>47</v>
      </c>
      <c r="AU7" s="9">
        <v>48</v>
      </c>
      <c r="AV7" s="8">
        <v>49</v>
      </c>
      <c r="AW7" s="9">
        <v>50</v>
      </c>
      <c r="AX7" s="8">
        <v>51</v>
      </c>
      <c r="AY7" s="9">
        <v>52</v>
      </c>
      <c r="AZ7" s="8">
        <v>53</v>
      </c>
      <c r="BA7" s="9">
        <v>54</v>
      </c>
      <c r="BB7" s="8">
        <v>55</v>
      </c>
      <c r="BC7" s="9">
        <v>56</v>
      </c>
      <c r="BD7" s="9">
        <v>56</v>
      </c>
    </row>
    <row r="8" spans="1:56" ht="12.75">
      <c r="A8" s="5" t="s">
        <v>40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6"/>
      <c r="AS8" s="6"/>
      <c r="AT8" s="6"/>
      <c r="AU8" s="7"/>
      <c r="AV8" s="7"/>
      <c r="AW8" s="7"/>
      <c r="AX8" s="7"/>
      <c r="AY8" s="7"/>
      <c r="AZ8" s="7"/>
      <c r="BA8" s="7"/>
      <c r="BB8" s="7"/>
      <c r="BC8" s="7"/>
      <c r="BD8" s="11"/>
    </row>
    <row r="9" spans="1:56" ht="12.75">
      <c r="A9" s="12" t="s">
        <v>41</v>
      </c>
      <c r="B9" s="65">
        <v>377.8</v>
      </c>
      <c r="C9" s="79">
        <f>B9*8.65</f>
        <v>3267.9700000000003</v>
      </c>
      <c r="D9" s="80">
        <f>C9*0.24088</f>
        <v>787.1886136</v>
      </c>
      <c r="E9" s="66">
        <v>257.52</v>
      </c>
      <c r="F9" s="66">
        <v>49.04</v>
      </c>
      <c r="G9" s="66">
        <v>313.4</v>
      </c>
      <c r="H9" s="66">
        <v>66.2</v>
      </c>
      <c r="I9" s="66">
        <v>421.51</v>
      </c>
      <c r="J9" s="66">
        <v>80.31</v>
      </c>
      <c r="K9" s="66">
        <v>289.81</v>
      </c>
      <c r="L9" s="66">
        <v>55.18</v>
      </c>
      <c r="M9" s="64">
        <v>206.02</v>
      </c>
      <c r="N9" s="64">
        <v>39.23</v>
      </c>
      <c r="O9" s="66">
        <v>0</v>
      </c>
      <c r="P9" s="66">
        <v>0</v>
      </c>
      <c r="Q9" s="66">
        <v>0</v>
      </c>
      <c r="R9" s="66">
        <v>0</v>
      </c>
      <c r="S9" s="66">
        <f>E9+G9+I9+K9+M9+O9+Q9</f>
        <v>1488.26</v>
      </c>
      <c r="T9" s="81">
        <f>P9+N9+L9+J9+H9+F9+R9</f>
        <v>289.96000000000004</v>
      </c>
      <c r="U9" s="66">
        <v>0</v>
      </c>
      <c r="V9" s="66">
        <v>0</v>
      </c>
      <c r="W9" s="66">
        <v>0</v>
      </c>
      <c r="X9" s="66">
        <v>0</v>
      </c>
      <c r="Y9" s="72">
        <v>0</v>
      </c>
      <c r="Z9" s="99">
        <v>0</v>
      </c>
      <c r="AA9" s="72">
        <v>0</v>
      </c>
      <c r="AB9" s="72">
        <f>SUM(U9:AA9)</f>
        <v>0</v>
      </c>
      <c r="AC9" s="98">
        <f>D9+T9+AB9</f>
        <v>1077.1486136</v>
      </c>
      <c r="AD9" s="99">
        <v>0</v>
      </c>
      <c r="AE9" s="85">
        <f>R9+AA9</f>
        <v>0</v>
      </c>
      <c r="AF9" s="30">
        <f>0.6*B9</f>
        <v>226.68</v>
      </c>
      <c r="AG9" s="30">
        <f>B9*0.2*1.05826</f>
        <v>79.96212560000001</v>
      </c>
      <c r="AH9" s="30">
        <f>0.8518*B9</f>
        <v>321.81004</v>
      </c>
      <c r="AI9" s="30">
        <f>AH9*0.18</f>
        <v>57.9258072</v>
      </c>
      <c r="AJ9" s="30">
        <f>1.04*B9*0.9531</f>
        <v>374.4844272</v>
      </c>
      <c r="AK9" s="30">
        <f>AJ9*0.18</f>
        <v>67.407196896</v>
      </c>
      <c r="AL9" s="30">
        <f>(1.91)*B9*0.9531</f>
        <v>687.7550537999999</v>
      </c>
      <c r="AM9" s="30">
        <f>AL9*0.18</f>
        <v>123.79590968399998</v>
      </c>
      <c r="AN9" s="30"/>
      <c r="AO9" s="30">
        <f>AN9*0.18</f>
        <v>0</v>
      </c>
      <c r="AP9" s="90"/>
      <c r="AQ9" s="90"/>
      <c r="AR9" s="147">
        <v>2222.38</v>
      </c>
      <c r="AS9" s="147"/>
      <c r="AT9" s="70">
        <f>(AR9+AS9)*0.18</f>
        <v>400.0284</v>
      </c>
      <c r="AU9" s="91"/>
      <c r="AV9" s="177"/>
      <c r="AW9" s="30">
        <f>AV9*1.12*1.18</f>
        <v>0</v>
      </c>
      <c r="AX9" s="19">
        <v>0</v>
      </c>
      <c r="AY9" s="19">
        <v>0</v>
      </c>
      <c r="AZ9" s="18">
        <f>AY9*0.18</f>
        <v>0</v>
      </c>
      <c r="BA9" s="18">
        <f>SUM(AF9:AZ9)</f>
        <v>4562.22896038</v>
      </c>
      <c r="BB9" s="107"/>
      <c r="BC9" s="18">
        <f>AC9-BA9</f>
        <v>-3485.0803467799997</v>
      </c>
      <c r="BD9" s="20">
        <f>AB9-S9</f>
        <v>-1488.26</v>
      </c>
    </row>
    <row r="10" spans="1:56" ht="12.75">
      <c r="A10" s="12" t="s">
        <v>42</v>
      </c>
      <c r="B10" s="65">
        <v>377.8</v>
      </c>
      <c r="C10" s="79">
        <f>B10*8.65</f>
        <v>3267.9700000000003</v>
      </c>
      <c r="D10" s="80">
        <f>C10*0.24088</f>
        <v>787.1886136</v>
      </c>
      <c r="E10" s="158">
        <v>257.52</v>
      </c>
      <c r="F10" s="66">
        <v>49.04</v>
      </c>
      <c r="G10" s="158">
        <v>313.4</v>
      </c>
      <c r="H10" s="66">
        <v>66.2</v>
      </c>
      <c r="I10" s="158">
        <v>421.51</v>
      </c>
      <c r="J10" s="66">
        <v>80.31</v>
      </c>
      <c r="K10" s="158">
        <v>289.81</v>
      </c>
      <c r="L10" s="66">
        <v>55.18</v>
      </c>
      <c r="M10" s="157">
        <v>206.02</v>
      </c>
      <c r="N10" s="64">
        <v>39.23</v>
      </c>
      <c r="O10" s="66">
        <v>0</v>
      </c>
      <c r="P10" s="66">
        <v>0</v>
      </c>
      <c r="Q10" s="66">
        <v>0</v>
      </c>
      <c r="R10" s="66">
        <v>0</v>
      </c>
      <c r="S10" s="66">
        <f>E10+G10+I10+K10+M10+O10+Q10</f>
        <v>1488.26</v>
      </c>
      <c r="T10" s="81">
        <f>P10+N10+L10+J10+H10+F10+R10</f>
        <v>289.96000000000004</v>
      </c>
      <c r="U10" s="158">
        <v>161.31</v>
      </c>
      <c r="V10" s="158">
        <v>217.78</v>
      </c>
      <c r="W10" s="158">
        <v>264.11</v>
      </c>
      <c r="X10" s="158">
        <v>181.53</v>
      </c>
      <c r="Y10" s="169">
        <v>129.06</v>
      </c>
      <c r="Z10" s="85">
        <v>0</v>
      </c>
      <c r="AA10" s="72">
        <v>0</v>
      </c>
      <c r="AB10" s="170">
        <f>SUM(U10:AA10)</f>
        <v>953.79</v>
      </c>
      <c r="AC10" s="84">
        <f>D10+T10+AB10</f>
        <v>2030.9386136</v>
      </c>
      <c r="AD10" s="85">
        <v>0</v>
      </c>
      <c r="AE10" s="85">
        <f>R10+AA10</f>
        <v>0</v>
      </c>
      <c r="AF10" s="30">
        <f>0.6*B10</f>
        <v>226.68</v>
      </c>
      <c r="AG10" s="30">
        <f>B10*0.201</f>
        <v>75.93780000000001</v>
      </c>
      <c r="AH10" s="30">
        <f>0.8518*B10</f>
        <v>321.81004</v>
      </c>
      <c r="AI10" s="30">
        <f>AH10*0.18</f>
        <v>57.9258072</v>
      </c>
      <c r="AJ10" s="30">
        <f>1.04*B10*0.9531</f>
        <v>374.4844272</v>
      </c>
      <c r="AK10" s="30">
        <f>AJ10*0.18</f>
        <v>67.407196896</v>
      </c>
      <c r="AL10" s="30">
        <f>(1.91)*B10*0.9531</f>
        <v>687.7550537999999</v>
      </c>
      <c r="AM10" s="30">
        <f>AL10*0.18</f>
        <v>123.79590968399998</v>
      </c>
      <c r="AN10" s="30"/>
      <c r="AO10" s="30">
        <f>AN10*0.18</f>
        <v>0</v>
      </c>
      <c r="AP10" s="90"/>
      <c r="AQ10" s="90"/>
      <c r="AR10" s="178">
        <v>992</v>
      </c>
      <c r="AS10" s="178"/>
      <c r="AT10" s="70">
        <f>(AR10+AS10)*0.18</f>
        <v>178.56</v>
      </c>
      <c r="AU10" s="91"/>
      <c r="AV10" s="177"/>
      <c r="AW10" s="30">
        <f>AV10*1.12*1.18</f>
        <v>0</v>
      </c>
      <c r="AX10" s="19">
        <v>0</v>
      </c>
      <c r="AY10" s="19">
        <v>0</v>
      </c>
      <c r="AZ10" s="18">
        <f>AY10*0.18</f>
        <v>0</v>
      </c>
      <c r="BA10" s="18">
        <f>SUM(AF10:AZ10)</f>
        <v>3106.35623478</v>
      </c>
      <c r="BB10" s="107"/>
      <c r="BC10" s="18">
        <f>AC10-BA10</f>
        <v>-1075.4176211799997</v>
      </c>
      <c r="BD10" s="20">
        <f>AB10-S10</f>
        <v>-534.47</v>
      </c>
    </row>
    <row r="11" spans="1:56" ht="12.75">
      <c r="A11" s="12" t="s">
        <v>43</v>
      </c>
      <c r="B11" s="65">
        <v>377.8</v>
      </c>
      <c r="C11" s="79">
        <f>B11*8.65</f>
        <v>3267.9700000000003</v>
      </c>
      <c r="D11" s="80">
        <f>C11*0.24035</f>
        <v>785.4565895000001</v>
      </c>
      <c r="E11" s="66">
        <v>256.64</v>
      </c>
      <c r="F11" s="66">
        <v>49.04</v>
      </c>
      <c r="G11" s="66">
        <v>312.21</v>
      </c>
      <c r="H11" s="66">
        <v>66.2</v>
      </c>
      <c r="I11" s="66">
        <v>696.09</v>
      </c>
      <c r="J11" s="66">
        <v>133.02</v>
      </c>
      <c r="K11" s="66">
        <v>481.08</v>
      </c>
      <c r="L11" s="66">
        <v>91.96</v>
      </c>
      <c r="M11" s="64">
        <v>205.31</v>
      </c>
      <c r="N11" s="137">
        <v>39.23</v>
      </c>
      <c r="O11" s="72">
        <v>0</v>
      </c>
      <c r="P11" s="72">
        <v>0</v>
      </c>
      <c r="Q11" s="72">
        <v>0</v>
      </c>
      <c r="R11" s="72">
        <v>0</v>
      </c>
      <c r="S11" s="66">
        <f>E11+G11+I11+K11+M11+O11+Q11</f>
        <v>1951.33</v>
      </c>
      <c r="T11" s="81">
        <f>P11+N11+L11+J11+H11+F11+R11</f>
        <v>379.45000000000005</v>
      </c>
      <c r="U11" s="66">
        <v>226.65</v>
      </c>
      <c r="V11" s="66">
        <v>242.94</v>
      </c>
      <c r="W11" s="66">
        <v>418.59</v>
      </c>
      <c r="X11" s="66">
        <v>288.18</v>
      </c>
      <c r="Y11" s="72">
        <v>181.32</v>
      </c>
      <c r="Z11" s="85">
        <v>0</v>
      </c>
      <c r="AA11" s="72">
        <v>0</v>
      </c>
      <c r="AB11" s="86">
        <f>SUM(U11:AA11)</f>
        <v>1357.68</v>
      </c>
      <c r="AC11" s="84">
        <f>D11+T11+AB11</f>
        <v>2522.5865895</v>
      </c>
      <c r="AD11" s="85">
        <v>0</v>
      </c>
      <c r="AE11" s="85">
        <f>R11+AA11</f>
        <v>0</v>
      </c>
      <c r="AF11" s="30">
        <f>0.6*B11</f>
        <v>226.68</v>
      </c>
      <c r="AG11" s="30">
        <f>B11*0.2*1.02524</f>
        <v>77.46713439999999</v>
      </c>
      <c r="AH11" s="30">
        <f>0.84932*B11</f>
        <v>320.873096</v>
      </c>
      <c r="AI11" s="30">
        <f>AH11*0.18</f>
        <v>57.757157279999994</v>
      </c>
      <c r="AJ11" s="30">
        <f>1.04*B11*0.95033</f>
        <v>373.39606096000006</v>
      </c>
      <c r="AK11" s="30">
        <f>AJ11*0.18</f>
        <v>67.21129097280001</v>
      </c>
      <c r="AL11" s="30">
        <f>(1.91)*B11*0.95033</f>
        <v>685.75622734</v>
      </c>
      <c r="AM11" s="30">
        <f>AL11*0.18</f>
        <v>123.4361209212</v>
      </c>
      <c r="AN11" s="30"/>
      <c r="AO11" s="30">
        <f>AN11*0.18</f>
        <v>0</v>
      </c>
      <c r="AP11" s="90"/>
      <c r="AQ11" s="90"/>
      <c r="AR11" s="147">
        <v>360</v>
      </c>
      <c r="AS11" s="70"/>
      <c r="AT11" s="70">
        <f>(AR11+AS11)*0.18</f>
        <v>64.8</v>
      </c>
      <c r="AU11" s="91"/>
      <c r="AV11" s="177"/>
      <c r="AW11" s="30">
        <f>AV11*1.12*1.18</f>
        <v>0</v>
      </c>
      <c r="AX11" s="19">
        <v>0</v>
      </c>
      <c r="AY11" s="19">
        <v>0</v>
      </c>
      <c r="AZ11" s="18">
        <f>AY11*0.18</f>
        <v>0</v>
      </c>
      <c r="BA11" s="18">
        <f>SUM(AF11:AZ11)</f>
        <v>2357.3770878740006</v>
      </c>
      <c r="BB11" s="107"/>
      <c r="BC11" s="18">
        <f>AC11-BA11</f>
        <v>165.20950162599956</v>
      </c>
      <c r="BD11" s="20">
        <f>AB11-S11</f>
        <v>-593.6499999999999</v>
      </c>
    </row>
    <row r="12" spans="1:56" ht="12.75">
      <c r="A12" s="21" t="s">
        <v>5</v>
      </c>
      <c r="B12" s="22"/>
      <c r="C12" s="22">
        <f aca="true" t="shared" si="0" ref="C12:AE12">SUM(C9:C11)</f>
        <v>9803.91</v>
      </c>
      <c r="D12" s="22">
        <f t="shared" si="0"/>
        <v>2359.8338167</v>
      </c>
      <c r="E12" s="22">
        <f t="shared" si="0"/>
        <v>771.68</v>
      </c>
      <c r="F12" s="22">
        <f t="shared" si="0"/>
        <v>147.12</v>
      </c>
      <c r="G12" s="22">
        <f t="shared" si="0"/>
        <v>939.01</v>
      </c>
      <c r="H12" s="22">
        <f t="shared" si="0"/>
        <v>198.60000000000002</v>
      </c>
      <c r="I12" s="22">
        <f t="shared" si="0"/>
        <v>1539.1100000000001</v>
      </c>
      <c r="J12" s="22">
        <f t="shared" si="0"/>
        <v>293.64</v>
      </c>
      <c r="K12" s="22">
        <f t="shared" si="0"/>
        <v>1060.7</v>
      </c>
      <c r="L12" s="22">
        <f t="shared" si="0"/>
        <v>202.32</v>
      </c>
      <c r="M12" s="22">
        <f t="shared" si="0"/>
        <v>617.35</v>
      </c>
      <c r="N12" s="22">
        <f t="shared" si="0"/>
        <v>117.69</v>
      </c>
      <c r="O12" s="22">
        <f t="shared" si="0"/>
        <v>0</v>
      </c>
      <c r="P12" s="22">
        <f t="shared" si="0"/>
        <v>0</v>
      </c>
      <c r="Q12" s="22">
        <f t="shared" si="0"/>
        <v>0</v>
      </c>
      <c r="R12" s="22">
        <f t="shared" si="0"/>
        <v>0</v>
      </c>
      <c r="S12" s="23">
        <f t="shared" si="0"/>
        <v>4927.85</v>
      </c>
      <c r="T12" s="23">
        <f t="shared" si="0"/>
        <v>959.3700000000001</v>
      </c>
      <c r="U12" s="24">
        <f t="shared" si="0"/>
        <v>387.96000000000004</v>
      </c>
      <c r="V12" s="24">
        <f t="shared" si="0"/>
        <v>460.72</v>
      </c>
      <c r="W12" s="24">
        <f t="shared" si="0"/>
        <v>682.7</v>
      </c>
      <c r="X12" s="24">
        <f t="shared" si="0"/>
        <v>469.71000000000004</v>
      </c>
      <c r="Y12" s="24">
        <f t="shared" si="0"/>
        <v>310.38</v>
      </c>
      <c r="Z12" s="24">
        <f t="shared" si="0"/>
        <v>0</v>
      </c>
      <c r="AA12" s="24">
        <f t="shared" si="0"/>
        <v>0</v>
      </c>
      <c r="AB12" s="24">
        <f t="shared" si="0"/>
        <v>2311.4700000000003</v>
      </c>
      <c r="AC12" s="24">
        <f t="shared" si="0"/>
        <v>5630.6738167</v>
      </c>
      <c r="AD12" s="77">
        <f t="shared" si="0"/>
        <v>0</v>
      </c>
      <c r="AE12" s="77">
        <f t="shared" si="0"/>
        <v>0</v>
      </c>
      <c r="AF12" s="25">
        <f aca="true" t="shared" si="1" ref="AF12:AT12">SUM(AF9:AF11)</f>
        <v>680.04</v>
      </c>
      <c r="AG12" s="25">
        <f t="shared" si="1"/>
        <v>233.36706</v>
      </c>
      <c r="AH12" s="25">
        <f t="shared" si="1"/>
        <v>964.493176</v>
      </c>
      <c r="AI12" s="25">
        <f t="shared" si="1"/>
        <v>173.60877168</v>
      </c>
      <c r="AJ12" s="25">
        <f t="shared" si="1"/>
        <v>1122.3649153600002</v>
      </c>
      <c r="AK12" s="25">
        <f t="shared" si="1"/>
        <v>202.02568476480002</v>
      </c>
      <c r="AL12" s="25">
        <f t="shared" si="1"/>
        <v>2061.26633494</v>
      </c>
      <c r="AM12" s="25">
        <f t="shared" si="1"/>
        <v>371.02794028919993</v>
      </c>
      <c r="AN12" s="25">
        <f t="shared" si="1"/>
        <v>0</v>
      </c>
      <c r="AO12" s="25">
        <f t="shared" si="1"/>
        <v>0</v>
      </c>
      <c r="AP12" s="25">
        <f t="shared" si="1"/>
        <v>0</v>
      </c>
      <c r="AQ12" s="25">
        <f t="shared" si="1"/>
        <v>0</v>
      </c>
      <c r="AR12" s="25">
        <f t="shared" si="1"/>
        <v>3574.38</v>
      </c>
      <c r="AS12" s="25">
        <f t="shared" si="1"/>
        <v>0</v>
      </c>
      <c r="AT12" s="25">
        <f t="shared" si="1"/>
        <v>643.3883999999999</v>
      </c>
      <c r="AU12" s="25">
        <f>SUM(AU9:AU11)</f>
        <v>0</v>
      </c>
      <c r="AV12" s="25"/>
      <c r="AW12" s="25">
        <f>SUM(AW9:AW11)</f>
        <v>0</v>
      </c>
      <c r="AX12" s="25">
        <f aca="true" t="shared" si="2" ref="AX12:BD12">SUM(AX9:AX11)</f>
        <v>0</v>
      </c>
      <c r="AY12" s="25">
        <f t="shared" si="2"/>
        <v>0</v>
      </c>
      <c r="AZ12" s="25">
        <f t="shared" si="2"/>
        <v>0</v>
      </c>
      <c r="BA12" s="25">
        <f t="shared" si="2"/>
        <v>10025.962283034001</v>
      </c>
      <c r="BB12" s="25">
        <f t="shared" si="2"/>
        <v>0</v>
      </c>
      <c r="BC12" s="25">
        <f>SUM(BC9:BC11)</f>
        <v>-4395.288466333999</v>
      </c>
      <c r="BD12" s="26">
        <f t="shared" si="2"/>
        <v>-2616.38</v>
      </c>
    </row>
    <row r="13" spans="1:56" ht="12.75">
      <c r="A13" s="5" t="s">
        <v>44</v>
      </c>
      <c r="B13" s="13"/>
      <c r="C13" s="14"/>
      <c r="D13" s="14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62"/>
      <c r="P13" s="16"/>
      <c r="Q13" s="15"/>
      <c r="R13" s="15"/>
      <c r="S13" s="15"/>
      <c r="T13" s="15"/>
      <c r="U13" s="28"/>
      <c r="V13" s="28"/>
      <c r="W13" s="28"/>
      <c r="X13" s="28"/>
      <c r="Y13" s="28"/>
      <c r="Z13" s="28"/>
      <c r="AA13" s="17"/>
      <c r="AB13" s="17"/>
      <c r="AC13" s="75"/>
      <c r="AD13" s="76"/>
      <c r="AE13" s="76"/>
      <c r="AF13" s="18"/>
      <c r="AG13" s="18"/>
      <c r="AH13" s="18"/>
      <c r="AI13" s="18"/>
      <c r="AJ13" s="18"/>
      <c r="AK13" s="18"/>
      <c r="AL13" s="18"/>
      <c r="AM13" s="18"/>
      <c r="AN13" s="19"/>
      <c r="AO13" s="19"/>
      <c r="AP13" s="19"/>
      <c r="AQ13" s="19"/>
      <c r="AR13" s="69"/>
      <c r="AS13" s="69"/>
      <c r="AT13" s="29"/>
      <c r="AU13" s="18"/>
      <c r="AV13" s="18"/>
      <c r="AW13" s="19"/>
      <c r="AX13" s="19"/>
      <c r="AY13" s="19"/>
      <c r="AZ13" s="18"/>
      <c r="BA13" s="18"/>
      <c r="BB13" s="18"/>
      <c r="BC13" s="18"/>
      <c r="BD13" s="20"/>
    </row>
    <row r="14" spans="1:56" ht="14.25">
      <c r="A14" s="12" t="s">
        <v>45</v>
      </c>
      <c r="B14" s="320">
        <v>376.4</v>
      </c>
      <c r="C14" s="79">
        <f>B14*8.65</f>
        <v>3255.86</v>
      </c>
      <c r="D14" s="80">
        <f>C14*0.125+2497.45</f>
        <v>2904.4325</v>
      </c>
      <c r="E14" s="144">
        <v>256.64</v>
      </c>
      <c r="F14" s="144">
        <v>49.04</v>
      </c>
      <c r="G14" s="144">
        <v>312.21</v>
      </c>
      <c r="H14" s="144">
        <v>66.2</v>
      </c>
      <c r="I14" s="144">
        <v>696.05</v>
      </c>
      <c r="J14" s="144">
        <v>133.02</v>
      </c>
      <c r="K14" s="144">
        <v>481.05</v>
      </c>
      <c r="L14" s="144">
        <v>91.96</v>
      </c>
      <c r="M14" s="145">
        <v>205.3</v>
      </c>
      <c r="N14" s="219">
        <v>39.23</v>
      </c>
      <c r="O14" s="186">
        <v>3933.58</v>
      </c>
      <c r="P14" s="220">
        <v>361.23</v>
      </c>
      <c r="Q14" s="220">
        <v>0</v>
      </c>
      <c r="R14" s="220">
        <v>0</v>
      </c>
      <c r="S14" s="144">
        <f>E14+G14+I14+K14+M14+O14+Q14</f>
        <v>5884.83</v>
      </c>
      <c r="T14" s="221">
        <f>P14+N14+L14+J14+H14+F14+R14</f>
        <v>740.6800000000001</v>
      </c>
      <c r="U14" s="144">
        <v>161.45</v>
      </c>
      <c r="V14" s="144">
        <v>186.78</v>
      </c>
      <c r="W14" s="144">
        <v>397.07</v>
      </c>
      <c r="X14" s="144">
        <v>274.17</v>
      </c>
      <c r="Y14" s="220">
        <v>129.14</v>
      </c>
      <c r="Z14" s="252">
        <v>3010.84</v>
      </c>
      <c r="AA14" s="220">
        <v>0</v>
      </c>
      <c r="AB14" s="237">
        <f>SUM(U14:AA14)</f>
        <v>4159.450000000001</v>
      </c>
      <c r="AC14" s="224">
        <f>D14+T14+AB14</f>
        <v>7804.562500000001</v>
      </c>
      <c r="AD14" s="225">
        <f>P14+Z14</f>
        <v>3372.07</v>
      </c>
      <c r="AE14" s="225">
        <f>R14+AA14</f>
        <v>0</v>
      </c>
      <c r="AF14" s="211">
        <f>0.6*B14*0.9</f>
        <v>203.25599999999997</v>
      </c>
      <c r="AG14" s="211">
        <f>B14*0.2*0.891</f>
        <v>67.07448000000001</v>
      </c>
      <c r="AH14" s="211">
        <f>0.85*B14*0.867-0.02</f>
        <v>277.36798</v>
      </c>
      <c r="AI14" s="211">
        <f>AH14*0.18</f>
        <v>49.92623639999999</v>
      </c>
      <c r="AJ14" s="211">
        <f>0.83*B14*0.8685</f>
        <v>271.329822</v>
      </c>
      <c r="AK14" s="211">
        <f>AJ14*0.18</f>
        <v>48.83936796</v>
      </c>
      <c r="AL14" s="211">
        <f>1.91*B14*0.8686</f>
        <v>624.4573864</v>
      </c>
      <c r="AM14" s="211">
        <f>AL14*0.18</f>
        <v>112.402329552</v>
      </c>
      <c r="AN14" s="211"/>
      <c r="AO14" s="211">
        <f>AN14*0.18</f>
        <v>0</v>
      </c>
      <c r="AP14" s="148"/>
      <c r="AQ14" s="226">
        <f>AP14*0.18</f>
        <v>0</v>
      </c>
      <c r="AR14" s="227"/>
      <c r="AS14" s="147"/>
      <c r="AT14" s="227">
        <f>(AR14+AS14)*0.18</f>
        <v>0</v>
      </c>
      <c r="AU14" s="227"/>
      <c r="AV14" s="229">
        <v>25760</v>
      </c>
      <c r="AW14" s="211"/>
      <c r="AX14" s="211"/>
      <c r="AY14" s="222"/>
      <c r="AZ14" s="222">
        <f>AY14*0.18</f>
        <v>0</v>
      </c>
      <c r="BA14" s="94">
        <f aca="true" t="shared" si="3" ref="BA14:BA25">SUM(AF14:AT14)+AW14</f>
        <v>1654.653602312</v>
      </c>
      <c r="BB14" s="179"/>
      <c r="BC14" s="18">
        <f>AC14-BA14</f>
        <v>6149.908897688001</v>
      </c>
      <c r="BD14" s="20">
        <f>AB14-S14</f>
        <v>-1725.3799999999992</v>
      </c>
    </row>
    <row r="15" spans="1:56" ht="14.25">
      <c r="A15" s="12" t="s">
        <v>46</v>
      </c>
      <c r="B15" s="320">
        <v>376.4</v>
      </c>
      <c r="C15" s="79">
        <f>B15*8.65</f>
        <v>3255.86</v>
      </c>
      <c r="D15" s="80">
        <f>C15*0.125+2481.9</f>
        <v>2888.8825</v>
      </c>
      <c r="E15" s="158">
        <v>256.49</v>
      </c>
      <c r="F15" s="144">
        <v>49.04</v>
      </c>
      <c r="G15" s="158">
        <v>312.15</v>
      </c>
      <c r="H15" s="144">
        <v>66.2</v>
      </c>
      <c r="I15" s="158">
        <v>695.68</v>
      </c>
      <c r="J15" s="144">
        <v>133.02</v>
      </c>
      <c r="K15" s="158">
        <v>480.89</v>
      </c>
      <c r="L15" s="144">
        <v>91.96</v>
      </c>
      <c r="M15" s="157">
        <v>205.19</v>
      </c>
      <c r="N15" s="219">
        <v>39.23</v>
      </c>
      <c r="O15" s="186">
        <v>3931.48</v>
      </c>
      <c r="P15" s="220">
        <v>361.23</v>
      </c>
      <c r="Q15" s="220">
        <v>0</v>
      </c>
      <c r="R15" s="220">
        <v>0</v>
      </c>
      <c r="S15" s="144">
        <f>E15+G15+I15+K15+M15+O15+Q15</f>
        <v>5881.88</v>
      </c>
      <c r="T15" s="221">
        <f>P15+N15+L15+J15+H15+F15+R15</f>
        <v>740.6800000000001</v>
      </c>
      <c r="U15" s="252">
        <v>189.18</v>
      </c>
      <c r="V15" s="252">
        <v>212.58</v>
      </c>
      <c r="W15" s="252">
        <v>507.6</v>
      </c>
      <c r="X15" s="252">
        <v>350.79</v>
      </c>
      <c r="Y15" s="321">
        <v>151.34</v>
      </c>
      <c r="Z15" s="252">
        <v>2956.94</v>
      </c>
      <c r="AA15" s="220">
        <v>0</v>
      </c>
      <c r="AB15" s="237">
        <f>SUM(U15:AA15)</f>
        <v>4368.43</v>
      </c>
      <c r="AC15" s="224">
        <f>D15+T15+AB15</f>
        <v>7997.9925</v>
      </c>
      <c r="AD15" s="225">
        <f>P15+Z15</f>
        <v>3318.17</v>
      </c>
      <c r="AE15" s="225">
        <f>R15+AA15</f>
        <v>0</v>
      </c>
      <c r="AF15" s="211">
        <f>0.6*B15*0.9</f>
        <v>203.25599999999997</v>
      </c>
      <c r="AG15" s="211">
        <f>B15*0.2*0.9153</f>
        <v>68.903784</v>
      </c>
      <c r="AH15" s="211">
        <f>0.85*B15*0.867</f>
        <v>277.38797999999997</v>
      </c>
      <c r="AI15" s="211">
        <f>AH15*0.18</f>
        <v>49.92983639999999</v>
      </c>
      <c r="AJ15" s="211">
        <f>0.83*B15*0.8684</f>
        <v>271.29858079999997</v>
      </c>
      <c r="AK15" s="211">
        <f>AJ15*0.18</f>
        <v>48.83374454399999</v>
      </c>
      <c r="AL15" s="211">
        <f>(1.91)*B15*0.8684</f>
        <v>624.3136016</v>
      </c>
      <c r="AM15" s="211">
        <f>AL15*0.18</f>
        <v>112.37644828799999</v>
      </c>
      <c r="AN15" s="211"/>
      <c r="AO15" s="211">
        <f>AN15*0.18</f>
        <v>0</v>
      </c>
      <c r="AP15" s="148"/>
      <c r="AQ15" s="226">
        <f>AP15*0.18</f>
        <v>0</v>
      </c>
      <c r="AR15" s="147"/>
      <c r="AS15" s="147"/>
      <c r="AT15" s="228"/>
      <c r="AU15" s="228"/>
      <c r="AV15" s="229">
        <v>21980</v>
      </c>
      <c r="AW15" s="211"/>
      <c r="AX15" s="92"/>
      <c r="AY15" s="222"/>
      <c r="AZ15" s="222">
        <f>AY15*0.18</f>
        <v>0</v>
      </c>
      <c r="BA15" s="94">
        <f t="shared" si="3"/>
        <v>1656.2999756319998</v>
      </c>
      <c r="BB15" s="179"/>
      <c r="BC15" s="18">
        <f>AC15-BA15</f>
        <v>6341.692524368001</v>
      </c>
      <c r="BD15" s="20">
        <f>AB15-S15</f>
        <v>-1513.4499999999998</v>
      </c>
    </row>
    <row r="16" spans="1:56" ht="12.75">
      <c r="A16" s="12" t="s">
        <v>47</v>
      </c>
      <c r="B16" s="172">
        <v>376.4</v>
      </c>
      <c r="C16" s="79">
        <f aca="true" t="shared" si="4" ref="C16:C25">B16*8.65</f>
        <v>3255.86</v>
      </c>
      <c r="D16" s="80">
        <f>C16*0.125+3387.57</f>
        <v>3794.5525000000002</v>
      </c>
      <c r="E16" s="66">
        <v>256.42</v>
      </c>
      <c r="F16" s="66">
        <v>49.04</v>
      </c>
      <c r="G16" s="66">
        <v>312.12</v>
      </c>
      <c r="H16" s="66">
        <v>66.2</v>
      </c>
      <c r="I16" s="66">
        <v>695.5</v>
      </c>
      <c r="J16" s="66">
        <v>133.02</v>
      </c>
      <c r="K16" s="66">
        <v>480.67</v>
      </c>
      <c r="L16" s="66">
        <v>91.96</v>
      </c>
      <c r="M16" s="64">
        <v>205.13</v>
      </c>
      <c r="N16" s="137">
        <v>39.23</v>
      </c>
      <c r="O16" s="186">
        <v>3930.48</v>
      </c>
      <c r="P16" s="72">
        <v>361.23</v>
      </c>
      <c r="Q16" s="72">
        <v>0</v>
      </c>
      <c r="R16" s="72">
        <v>0</v>
      </c>
      <c r="S16" s="66">
        <f aca="true" t="shared" si="5" ref="S16:S25">E16+G16+I16+K16+M16+O16+Q16</f>
        <v>5880.32</v>
      </c>
      <c r="T16" s="81">
        <f aca="true" t="shared" si="6" ref="T16:T25">P16+N16+L16+J16+H16+F16+R16</f>
        <v>740.6800000000001</v>
      </c>
      <c r="U16" s="67">
        <v>206.5</v>
      </c>
      <c r="V16" s="67">
        <v>244.64</v>
      </c>
      <c r="W16" s="67">
        <v>539.27</v>
      </c>
      <c r="X16" s="67">
        <v>372.6</v>
      </c>
      <c r="Y16" s="87">
        <v>165.19</v>
      </c>
      <c r="Z16" s="186">
        <v>4045.07</v>
      </c>
      <c r="AA16" s="87">
        <v>0</v>
      </c>
      <c r="AB16" s="83">
        <f aca="true" t="shared" si="7" ref="AB16:AB22">SUM(U16:AA16)</f>
        <v>5573.27</v>
      </c>
      <c r="AC16" s="84">
        <f aca="true" t="shared" si="8" ref="AC16:AC22">D16+T16+AB16</f>
        <v>10108.5025</v>
      </c>
      <c r="AD16" s="85">
        <f aca="true" t="shared" si="9" ref="AD16:AD25">P16+Z16</f>
        <v>4406.3</v>
      </c>
      <c r="AE16" s="85">
        <f aca="true" t="shared" si="10" ref="AE16:AE25">R16+AA16</f>
        <v>0</v>
      </c>
      <c r="AF16" s="30">
        <f>0.6*B16*0.9</f>
        <v>203.25599999999997</v>
      </c>
      <c r="AG16" s="88">
        <f>B16*0.2*0.9082</f>
        <v>68.369296</v>
      </c>
      <c r="AH16" s="30">
        <f>0.85*B16*0.8675</f>
        <v>277.54795</v>
      </c>
      <c r="AI16" s="30">
        <f aca="true" t="shared" si="11" ref="AI16:AI25">AH16*0.18</f>
        <v>49.958631000000004</v>
      </c>
      <c r="AJ16" s="88">
        <f>0.83*B16*0.838</f>
        <v>261.80125599999997</v>
      </c>
      <c r="AK16" s="30">
        <f aca="true" t="shared" si="12" ref="AK16:AK25">AJ16*0.18</f>
        <v>47.12422607999999</v>
      </c>
      <c r="AL16" s="30">
        <f>1.91*B16*0.8381</f>
        <v>602.5302044</v>
      </c>
      <c r="AM16" s="30">
        <f aca="true" t="shared" si="13" ref="AM16:AM25">AL16*0.18</f>
        <v>108.455436792</v>
      </c>
      <c r="AN16" s="30"/>
      <c r="AO16" s="30">
        <f aca="true" t="shared" si="14" ref="AO16:AO25">AN16*0.18</f>
        <v>0</v>
      </c>
      <c r="AP16" s="148"/>
      <c r="AQ16" s="90">
        <f aca="true" t="shared" si="15" ref="AQ16:AQ25">AP16*0.18</f>
        <v>0</v>
      </c>
      <c r="AR16" s="147"/>
      <c r="AS16" s="147"/>
      <c r="AT16" s="70">
        <f aca="true" t="shared" si="16" ref="AT16:AT25">(AR16+AS16)*0.18</f>
        <v>0</v>
      </c>
      <c r="AU16" s="91"/>
      <c r="AV16" s="177">
        <v>18780</v>
      </c>
      <c r="AW16" s="30"/>
      <c r="AX16" s="92"/>
      <c r="AY16" s="94"/>
      <c r="AZ16" s="94"/>
      <c r="BA16" s="94">
        <f t="shared" si="3"/>
        <v>1619.043000272</v>
      </c>
      <c r="BB16" s="179"/>
      <c r="BC16" s="18">
        <f>AC16-BA16</f>
        <v>8489.459499728</v>
      </c>
      <c r="BD16" s="20">
        <f aca="true" t="shared" si="17" ref="BD16:BD25">AB16-S16</f>
        <v>-307.0499999999993</v>
      </c>
    </row>
    <row r="17" spans="1:56" ht="12.75">
      <c r="A17" s="12" t="s">
        <v>48</v>
      </c>
      <c r="B17" s="172">
        <v>376.4</v>
      </c>
      <c r="C17" s="79">
        <f t="shared" si="4"/>
        <v>3255.86</v>
      </c>
      <c r="D17" s="80">
        <f>C17*0.125+3422.68</f>
        <v>3829.6625</v>
      </c>
      <c r="E17" s="66">
        <v>256.42</v>
      </c>
      <c r="F17" s="66">
        <v>49.04</v>
      </c>
      <c r="G17" s="66">
        <v>312.12</v>
      </c>
      <c r="H17" s="66">
        <v>66.2</v>
      </c>
      <c r="I17" s="66">
        <v>695.5</v>
      </c>
      <c r="J17" s="66">
        <v>133.02</v>
      </c>
      <c r="K17" s="66">
        <v>480.67</v>
      </c>
      <c r="L17" s="66">
        <v>91.96</v>
      </c>
      <c r="M17" s="64">
        <v>205.13</v>
      </c>
      <c r="N17" s="137">
        <v>39.23</v>
      </c>
      <c r="O17" s="186">
        <v>4818.59</v>
      </c>
      <c r="P17" s="72">
        <v>442.85</v>
      </c>
      <c r="Q17" s="72">
        <v>0</v>
      </c>
      <c r="R17" s="72">
        <v>0</v>
      </c>
      <c r="S17" s="66">
        <f t="shared" si="5"/>
        <v>6768.43</v>
      </c>
      <c r="T17" s="81">
        <f t="shared" si="6"/>
        <v>822.3000000000001</v>
      </c>
      <c r="U17" s="66">
        <v>129.8</v>
      </c>
      <c r="V17" s="66">
        <v>141.23</v>
      </c>
      <c r="W17" s="66">
        <v>352.11</v>
      </c>
      <c r="X17" s="66">
        <v>243.32</v>
      </c>
      <c r="Y17" s="66">
        <v>103.85</v>
      </c>
      <c r="Z17" s="186">
        <v>2151.11</v>
      </c>
      <c r="AA17" s="66">
        <v>0</v>
      </c>
      <c r="AB17" s="86">
        <f t="shared" si="7"/>
        <v>3121.42</v>
      </c>
      <c r="AC17" s="84">
        <f t="shared" si="8"/>
        <v>7773.3825</v>
      </c>
      <c r="AD17" s="85">
        <f t="shared" si="9"/>
        <v>2593.96</v>
      </c>
      <c r="AE17" s="85">
        <f t="shared" si="10"/>
        <v>0</v>
      </c>
      <c r="AF17" s="30">
        <f>0.6*B17*0.9</f>
        <v>203.25599999999997</v>
      </c>
      <c r="AG17" s="88">
        <f>B17*0.2*0.9234</f>
        <v>69.513552</v>
      </c>
      <c r="AH17" s="30">
        <f>0.85*B17*0.8934</f>
        <v>285.83439599999997</v>
      </c>
      <c r="AI17" s="30">
        <f t="shared" si="11"/>
        <v>51.45019127999999</v>
      </c>
      <c r="AJ17" s="30">
        <f>0.83*B17*0.8498</f>
        <v>265.4877176</v>
      </c>
      <c r="AK17" s="30">
        <f t="shared" si="12"/>
        <v>47.787789167999996</v>
      </c>
      <c r="AL17" s="30">
        <f>(1.91)*B17*0.8498</f>
        <v>610.9416152</v>
      </c>
      <c r="AM17" s="30">
        <f t="shared" si="13"/>
        <v>109.969490736</v>
      </c>
      <c r="AN17" s="30"/>
      <c r="AO17" s="30">
        <f t="shared" si="14"/>
        <v>0</v>
      </c>
      <c r="AP17" s="90"/>
      <c r="AQ17" s="90">
        <f t="shared" si="15"/>
        <v>0</v>
      </c>
      <c r="AR17" s="70">
        <v>510</v>
      </c>
      <c r="AS17" s="70"/>
      <c r="AT17" s="70">
        <f t="shared" si="16"/>
        <v>91.8</v>
      </c>
      <c r="AU17" s="91"/>
      <c r="AV17" s="180">
        <v>13280</v>
      </c>
      <c r="AW17" s="30">
        <f>AV17*1.12*1.18+87912.83</f>
        <v>105463.678</v>
      </c>
      <c r="AX17" s="97"/>
      <c r="AY17" s="92"/>
      <c r="AZ17" s="94"/>
      <c r="BA17" s="94">
        <f>SUM(AF17:AT17)+AW17</f>
        <v>107709.718751984</v>
      </c>
      <c r="BB17" s="179"/>
      <c r="BC17" s="18">
        <f aca="true" t="shared" si="18" ref="BC17:BC25">AC17-BA17</f>
        <v>-99936.336251984</v>
      </c>
      <c r="BD17" s="20">
        <f t="shared" si="17"/>
        <v>-3647.01</v>
      </c>
    </row>
    <row r="18" spans="1:56" ht="12.75">
      <c r="A18" s="12" t="s">
        <v>49</v>
      </c>
      <c r="B18" s="322">
        <v>376.4</v>
      </c>
      <c r="C18" s="79">
        <f t="shared" si="4"/>
        <v>3255.86</v>
      </c>
      <c r="D18" s="95">
        <f>C18-E18-F18-G18-H18-I18-J18-K18-L18-M18-N18+1622.39-38.09</f>
        <v>2109.24</v>
      </c>
      <c r="E18" s="158">
        <v>285.75</v>
      </c>
      <c r="F18" s="67">
        <v>55.18</v>
      </c>
      <c r="G18" s="158">
        <v>349.32</v>
      </c>
      <c r="H18" s="67">
        <v>74.79</v>
      </c>
      <c r="I18" s="158">
        <v>838.15</v>
      </c>
      <c r="J18" s="67">
        <v>161.83</v>
      </c>
      <c r="K18" s="158">
        <v>580.96</v>
      </c>
      <c r="L18" s="67">
        <v>112.19</v>
      </c>
      <c r="M18" s="157">
        <v>228.61</v>
      </c>
      <c r="N18" s="173">
        <v>44.14</v>
      </c>
      <c r="O18" s="186">
        <v>5395.72</v>
      </c>
      <c r="P18" s="87">
        <v>495.89</v>
      </c>
      <c r="Q18" s="87">
        <v>0</v>
      </c>
      <c r="R18" s="87">
        <v>0</v>
      </c>
      <c r="S18" s="144">
        <f t="shared" si="5"/>
        <v>7678.51</v>
      </c>
      <c r="T18" s="221">
        <f t="shared" si="6"/>
        <v>944.02</v>
      </c>
      <c r="U18" s="158">
        <v>339.09</v>
      </c>
      <c r="V18" s="158">
        <v>423.72</v>
      </c>
      <c r="W18" s="158">
        <v>904.71</v>
      </c>
      <c r="X18" s="158">
        <v>625.24</v>
      </c>
      <c r="Y18" s="169">
        <v>271.26</v>
      </c>
      <c r="Z18" s="186">
        <v>6364.74</v>
      </c>
      <c r="AA18" s="87">
        <v>0</v>
      </c>
      <c r="AB18" s="83">
        <f>SUM(U18:AA18)</f>
        <v>8928.76</v>
      </c>
      <c r="AC18" s="224">
        <f t="shared" si="8"/>
        <v>11982.02</v>
      </c>
      <c r="AD18" s="225">
        <f t="shared" si="9"/>
        <v>6860.63</v>
      </c>
      <c r="AE18" s="225">
        <f t="shared" si="10"/>
        <v>0</v>
      </c>
      <c r="AF18" s="211">
        <f>0.6*B18</f>
        <v>225.83999999999997</v>
      </c>
      <c r="AG18" s="211">
        <f>B18*0.2*1.01</f>
        <v>76.03280000000001</v>
      </c>
      <c r="AH18" s="211">
        <f>0.85*B18</f>
        <v>319.94</v>
      </c>
      <c r="AI18" s="211">
        <f>AH18*0.18</f>
        <v>57.5892</v>
      </c>
      <c r="AJ18" s="211">
        <f>0.83*B18</f>
        <v>312.412</v>
      </c>
      <c r="AK18" s="211">
        <f>AJ18*0.18</f>
        <v>56.234159999999996</v>
      </c>
      <c r="AL18" s="211">
        <f>(1.91)*B18</f>
        <v>718.924</v>
      </c>
      <c r="AM18" s="211">
        <f>AL18*0.18</f>
        <v>129.40632</v>
      </c>
      <c r="AN18" s="211"/>
      <c r="AO18" s="211">
        <f>AN18*0.18</f>
        <v>0</v>
      </c>
      <c r="AP18" s="226"/>
      <c r="AQ18" s="226">
        <f>AP18*0.18</f>
        <v>0</v>
      </c>
      <c r="AR18" s="147"/>
      <c r="AS18" s="147"/>
      <c r="AT18" s="227">
        <f>(AR18+AS18)*0.18</f>
        <v>0</v>
      </c>
      <c r="AU18" s="228"/>
      <c r="AV18" s="323">
        <v>7180</v>
      </c>
      <c r="AW18" s="211">
        <f>AV18*1.12*1.18</f>
        <v>9489.088</v>
      </c>
      <c r="AX18" s="92"/>
      <c r="AY18" s="222"/>
      <c r="AZ18" s="222">
        <f>AY18*0.18</f>
        <v>0</v>
      </c>
      <c r="BA18" s="94">
        <f t="shared" si="3"/>
        <v>11385.46648</v>
      </c>
      <c r="BB18" s="212"/>
      <c r="BC18" s="18">
        <f t="shared" si="18"/>
        <v>596.5535200000013</v>
      </c>
      <c r="BD18" s="20">
        <f t="shared" si="17"/>
        <v>1250.25</v>
      </c>
    </row>
    <row r="19" spans="1:56" ht="12.75">
      <c r="A19" s="12" t="s">
        <v>50</v>
      </c>
      <c r="B19" s="172">
        <v>376.4</v>
      </c>
      <c r="C19" s="79">
        <f t="shared" si="4"/>
        <v>3255.86</v>
      </c>
      <c r="D19" s="95">
        <f>C19-E19-F19-G19-H19-I19-J19-K19-L19-M19-N19+6691.4</f>
        <v>7216.33</v>
      </c>
      <c r="E19" s="67">
        <v>285.75</v>
      </c>
      <c r="F19" s="67">
        <v>55.18</v>
      </c>
      <c r="G19" s="67">
        <v>349.32</v>
      </c>
      <c r="H19" s="67">
        <v>74.79</v>
      </c>
      <c r="I19" s="67">
        <v>838.16</v>
      </c>
      <c r="J19" s="67">
        <v>161.83</v>
      </c>
      <c r="K19" s="67">
        <v>580.96</v>
      </c>
      <c r="L19" s="67">
        <v>112.19</v>
      </c>
      <c r="M19" s="68">
        <v>228.61</v>
      </c>
      <c r="N19" s="173">
        <v>44.14</v>
      </c>
      <c r="O19" s="186">
        <v>5395.72</v>
      </c>
      <c r="P19" s="87">
        <v>495.89</v>
      </c>
      <c r="Q19" s="87">
        <v>0</v>
      </c>
      <c r="R19" s="87">
        <v>0</v>
      </c>
      <c r="S19" s="66">
        <f t="shared" si="5"/>
        <v>7678.52</v>
      </c>
      <c r="T19" s="81">
        <f t="shared" si="6"/>
        <v>944.02</v>
      </c>
      <c r="U19" s="67">
        <v>465.38</v>
      </c>
      <c r="V19" s="67">
        <v>591.12</v>
      </c>
      <c r="W19" s="67">
        <v>1208.01</v>
      </c>
      <c r="X19" s="67">
        <v>835.39</v>
      </c>
      <c r="Y19" s="87">
        <v>372.3</v>
      </c>
      <c r="Z19" s="186">
        <v>10619.76</v>
      </c>
      <c r="AA19" s="87">
        <v>0</v>
      </c>
      <c r="AB19" s="170">
        <f t="shared" si="7"/>
        <v>14091.960000000001</v>
      </c>
      <c r="AC19" s="84">
        <f t="shared" si="8"/>
        <v>22252.31</v>
      </c>
      <c r="AD19" s="85">
        <f t="shared" si="9"/>
        <v>11115.65</v>
      </c>
      <c r="AE19" s="85">
        <f t="shared" si="10"/>
        <v>0</v>
      </c>
      <c r="AF19" s="30">
        <f aca="true" t="shared" si="19" ref="AF19:AF25">0.6*B19</f>
        <v>225.83999999999997</v>
      </c>
      <c r="AG19" s="30">
        <f>B19*0.2*1.01045</f>
        <v>76.066676</v>
      </c>
      <c r="AH19" s="30">
        <f>0.85*B19</f>
        <v>319.94</v>
      </c>
      <c r="AI19" s="30">
        <f t="shared" si="11"/>
        <v>57.5892</v>
      </c>
      <c r="AJ19" s="30">
        <f>0.83*B19</f>
        <v>312.412</v>
      </c>
      <c r="AK19" s="30">
        <f t="shared" si="12"/>
        <v>56.234159999999996</v>
      </c>
      <c r="AL19" s="30">
        <f>(1.91)*B19</f>
        <v>718.924</v>
      </c>
      <c r="AM19" s="30">
        <f t="shared" si="13"/>
        <v>129.40632</v>
      </c>
      <c r="AN19" s="30"/>
      <c r="AO19" s="30">
        <f t="shared" si="14"/>
        <v>0</v>
      </c>
      <c r="AP19" s="90"/>
      <c r="AQ19" s="90">
        <f t="shared" si="15"/>
        <v>0</v>
      </c>
      <c r="AR19" s="147"/>
      <c r="AS19" s="147"/>
      <c r="AT19" s="70">
        <f t="shared" si="16"/>
        <v>0</v>
      </c>
      <c r="AU19" s="91"/>
      <c r="AV19" s="180">
        <v>0</v>
      </c>
      <c r="AW19" s="30">
        <f aca="true" t="shared" si="20" ref="AW19:AW25">AV19*1.12*1.18</f>
        <v>0</v>
      </c>
      <c r="AX19" s="92"/>
      <c r="AY19" s="93"/>
      <c r="AZ19" s="94"/>
      <c r="BA19" s="94">
        <f t="shared" si="3"/>
        <v>1896.4123559999998</v>
      </c>
      <c r="BB19" s="179"/>
      <c r="BC19" s="18">
        <f t="shared" si="18"/>
        <v>20355.897644</v>
      </c>
      <c r="BD19" s="20">
        <f t="shared" si="17"/>
        <v>6413.4400000000005</v>
      </c>
    </row>
    <row r="20" spans="1:56" ht="12.75">
      <c r="A20" s="12" t="s">
        <v>51</v>
      </c>
      <c r="B20" s="82">
        <v>376.4</v>
      </c>
      <c r="C20" s="79">
        <f t="shared" si="4"/>
        <v>3255.86</v>
      </c>
      <c r="D20" s="95">
        <f>C20-E20-F20-G20-H20-I20-J20-K20-L20-M20-N20+2812.31</f>
        <v>3337.25</v>
      </c>
      <c r="E20" s="67">
        <v>285.75</v>
      </c>
      <c r="F20" s="67">
        <v>55.18</v>
      </c>
      <c r="G20" s="67">
        <v>349.32</v>
      </c>
      <c r="H20" s="67">
        <v>74.79</v>
      </c>
      <c r="I20" s="67">
        <v>838.15</v>
      </c>
      <c r="J20" s="67">
        <v>161.83</v>
      </c>
      <c r="K20" s="67">
        <v>580.96</v>
      </c>
      <c r="L20" s="67">
        <v>112.19</v>
      </c>
      <c r="M20" s="68">
        <v>228.61</v>
      </c>
      <c r="N20" s="173">
        <v>44.14</v>
      </c>
      <c r="O20" s="186">
        <v>5395.72</v>
      </c>
      <c r="P20" s="87">
        <v>495.89</v>
      </c>
      <c r="Q20" s="87">
        <v>0</v>
      </c>
      <c r="R20" s="87">
        <v>0</v>
      </c>
      <c r="S20" s="66">
        <f t="shared" si="5"/>
        <v>7678.51</v>
      </c>
      <c r="T20" s="81">
        <f t="shared" si="6"/>
        <v>944.02</v>
      </c>
      <c r="U20" s="67">
        <v>313.12</v>
      </c>
      <c r="V20" s="67">
        <v>413.87</v>
      </c>
      <c r="W20" s="67">
        <v>968.36</v>
      </c>
      <c r="X20" s="67">
        <v>671.09</v>
      </c>
      <c r="Y20" s="87">
        <v>266.75</v>
      </c>
      <c r="Z20" s="186">
        <v>6285.69</v>
      </c>
      <c r="AA20" s="87">
        <v>0</v>
      </c>
      <c r="AB20" s="83">
        <f t="shared" si="7"/>
        <v>8918.88</v>
      </c>
      <c r="AC20" s="84">
        <f t="shared" si="8"/>
        <v>13200.15</v>
      </c>
      <c r="AD20" s="85">
        <f t="shared" si="9"/>
        <v>6781.58</v>
      </c>
      <c r="AE20" s="85">
        <f t="shared" si="10"/>
        <v>0</v>
      </c>
      <c r="AF20" s="30">
        <f t="shared" si="19"/>
        <v>225.83999999999997</v>
      </c>
      <c r="AG20" s="30">
        <f>B20*0.2*0.99426</f>
        <v>74.8478928</v>
      </c>
      <c r="AH20" s="30">
        <f>0.85*B20*0.9857</f>
        <v>315.364858</v>
      </c>
      <c r="AI20" s="30">
        <f t="shared" si="11"/>
        <v>56.765674440000005</v>
      </c>
      <c r="AJ20" s="30">
        <f>0.83*B20*0.9905</f>
        <v>309.44408599999997</v>
      </c>
      <c r="AK20" s="30">
        <f t="shared" si="12"/>
        <v>55.69993547999999</v>
      </c>
      <c r="AL20" s="30">
        <f>(1.91)*B20*0.9905</f>
        <v>712.0942220000001</v>
      </c>
      <c r="AM20" s="30">
        <f t="shared" si="13"/>
        <v>128.17695996</v>
      </c>
      <c r="AN20" s="30"/>
      <c r="AO20" s="30">
        <f t="shared" si="14"/>
        <v>0</v>
      </c>
      <c r="AP20" s="90"/>
      <c r="AQ20" s="90">
        <f t="shared" si="15"/>
        <v>0</v>
      </c>
      <c r="AR20" s="147"/>
      <c r="AS20" s="70"/>
      <c r="AT20" s="70">
        <f t="shared" si="16"/>
        <v>0</v>
      </c>
      <c r="AU20" s="91"/>
      <c r="AV20" s="180">
        <v>0</v>
      </c>
      <c r="AW20" s="30">
        <f t="shared" si="20"/>
        <v>0</v>
      </c>
      <c r="AX20" s="92"/>
      <c r="AY20" s="93"/>
      <c r="AZ20" s="94"/>
      <c r="BA20" s="94">
        <f t="shared" si="3"/>
        <v>1878.2336286799998</v>
      </c>
      <c r="BB20" s="179"/>
      <c r="BC20" s="18">
        <f t="shared" si="18"/>
        <v>11321.91637132</v>
      </c>
      <c r="BD20" s="20">
        <f t="shared" si="17"/>
        <v>1240.369999999999</v>
      </c>
    </row>
    <row r="21" spans="1:56" ht="12.75">
      <c r="A21" s="12" t="s">
        <v>52</v>
      </c>
      <c r="B21" s="82">
        <v>376.4</v>
      </c>
      <c r="C21" s="79">
        <f t="shared" si="4"/>
        <v>3255.86</v>
      </c>
      <c r="D21" s="95">
        <f>C21-E21-F21-G21-H21-I21-J21-K21-L21-M21-N21+1816.89</f>
        <v>2341.83</v>
      </c>
      <c r="E21" s="67">
        <v>285.75</v>
      </c>
      <c r="F21" s="67">
        <v>55.18</v>
      </c>
      <c r="G21" s="67">
        <v>349.32</v>
      </c>
      <c r="H21" s="67">
        <v>74.79</v>
      </c>
      <c r="I21" s="67">
        <v>838.15</v>
      </c>
      <c r="J21" s="67">
        <v>161.83</v>
      </c>
      <c r="K21" s="67">
        <v>580.96</v>
      </c>
      <c r="L21" s="67">
        <v>112.19</v>
      </c>
      <c r="M21" s="68">
        <v>228.61</v>
      </c>
      <c r="N21" s="173">
        <v>44.14</v>
      </c>
      <c r="O21" s="186">
        <v>5395.72</v>
      </c>
      <c r="P21" s="87">
        <v>495.89</v>
      </c>
      <c r="Q21" s="67">
        <v>0</v>
      </c>
      <c r="R21" s="67">
        <v>0</v>
      </c>
      <c r="S21" s="66">
        <f t="shared" si="5"/>
        <v>7678.51</v>
      </c>
      <c r="T21" s="81">
        <f t="shared" si="6"/>
        <v>944.02</v>
      </c>
      <c r="U21" s="67">
        <v>132.36</v>
      </c>
      <c r="V21" s="67">
        <v>141.44</v>
      </c>
      <c r="W21" s="67">
        <v>388.24</v>
      </c>
      <c r="X21" s="67">
        <v>269.1</v>
      </c>
      <c r="Y21" s="87">
        <v>105.9</v>
      </c>
      <c r="Z21" s="186">
        <v>3086.24</v>
      </c>
      <c r="AA21" s="87">
        <v>0</v>
      </c>
      <c r="AB21" s="83">
        <f t="shared" si="7"/>
        <v>4123.28</v>
      </c>
      <c r="AC21" s="84">
        <f t="shared" si="8"/>
        <v>7409.129999999999</v>
      </c>
      <c r="AD21" s="85">
        <f t="shared" si="9"/>
        <v>3582.1299999999997</v>
      </c>
      <c r="AE21" s="85">
        <f t="shared" si="10"/>
        <v>0</v>
      </c>
      <c r="AF21" s="30">
        <f t="shared" si="19"/>
        <v>225.83999999999997</v>
      </c>
      <c r="AG21" s="30">
        <f>B21*0.2*0.99875</f>
        <v>75.1859</v>
      </c>
      <c r="AH21" s="30">
        <f>0.85*B21*0.98526</f>
        <v>315.2240844</v>
      </c>
      <c r="AI21" s="30">
        <f t="shared" si="11"/>
        <v>56.740335191999996</v>
      </c>
      <c r="AJ21" s="30">
        <f>0.83*B21*0.99</f>
        <v>309.28788</v>
      </c>
      <c r="AK21" s="30">
        <f t="shared" si="12"/>
        <v>55.67181839999999</v>
      </c>
      <c r="AL21" s="30">
        <f>(1.91)*B21*0.99</f>
        <v>711.7347599999999</v>
      </c>
      <c r="AM21" s="30">
        <f t="shared" si="13"/>
        <v>128.11225679999998</v>
      </c>
      <c r="AN21" s="30"/>
      <c r="AO21" s="30">
        <f t="shared" si="14"/>
        <v>0</v>
      </c>
      <c r="AP21" s="90">
        <v>5320</v>
      </c>
      <c r="AQ21" s="90">
        <f t="shared" si="15"/>
        <v>957.5999999999999</v>
      </c>
      <c r="AR21" s="178">
        <v>12876.28</v>
      </c>
      <c r="AS21" s="70"/>
      <c r="AT21" s="70">
        <f t="shared" si="16"/>
        <v>2317.7304</v>
      </c>
      <c r="AU21" s="91"/>
      <c r="AV21" s="180">
        <v>0</v>
      </c>
      <c r="AW21" s="30">
        <f t="shared" si="20"/>
        <v>0</v>
      </c>
      <c r="AX21" s="92"/>
      <c r="AY21" s="93"/>
      <c r="AZ21" s="94"/>
      <c r="BA21" s="94">
        <f t="shared" si="3"/>
        <v>23349.407434792003</v>
      </c>
      <c r="BB21" s="179"/>
      <c r="BC21" s="18">
        <f t="shared" si="18"/>
        <v>-15940.277434792004</v>
      </c>
      <c r="BD21" s="20">
        <f t="shared" si="17"/>
        <v>-3555.2300000000005</v>
      </c>
    </row>
    <row r="22" spans="1:56" ht="12.75">
      <c r="A22" s="12" t="s">
        <v>53</v>
      </c>
      <c r="B22" s="65">
        <v>376.4</v>
      </c>
      <c r="C22" s="79">
        <f t="shared" si="4"/>
        <v>3255.86</v>
      </c>
      <c r="D22" s="95">
        <f>C22-E22-F22-G22-H22-I22-J22-K22-L22-M22-N22+4587.42</f>
        <v>5112.360000000001</v>
      </c>
      <c r="E22" s="66">
        <v>285.75</v>
      </c>
      <c r="F22" s="66">
        <v>55.18</v>
      </c>
      <c r="G22" s="66">
        <v>349.32</v>
      </c>
      <c r="H22" s="66">
        <v>74.79</v>
      </c>
      <c r="I22" s="66">
        <v>838.15</v>
      </c>
      <c r="J22" s="66">
        <v>161.83</v>
      </c>
      <c r="K22" s="66">
        <v>580.96</v>
      </c>
      <c r="L22" s="66">
        <v>112.19</v>
      </c>
      <c r="M22" s="64">
        <v>228.61</v>
      </c>
      <c r="N22" s="137">
        <v>44.14</v>
      </c>
      <c r="O22" s="186">
        <v>0</v>
      </c>
      <c r="P22" s="72">
        <v>495.89</v>
      </c>
      <c r="Q22" s="72">
        <v>0</v>
      </c>
      <c r="R22" s="72">
        <v>0</v>
      </c>
      <c r="S22" s="66">
        <f t="shared" si="5"/>
        <v>2282.79</v>
      </c>
      <c r="T22" s="81">
        <f t="shared" si="6"/>
        <v>944.02</v>
      </c>
      <c r="U22" s="66">
        <v>191.73</v>
      </c>
      <c r="V22" s="66">
        <v>226.31</v>
      </c>
      <c r="W22" s="66">
        <v>557.12</v>
      </c>
      <c r="X22" s="66">
        <v>386.06</v>
      </c>
      <c r="Y22" s="72">
        <v>153.4</v>
      </c>
      <c r="Z22" s="186">
        <v>4159.79</v>
      </c>
      <c r="AA22" s="72">
        <v>0</v>
      </c>
      <c r="AB22" s="83">
        <f t="shared" si="7"/>
        <v>5674.41</v>
      </c>
      <c r="AC22" s="84">
        <f t="shared" si="8"/>
        <v>11730.79</v>
      </c>
      <c r="AD22" s="85">
        <f t="shared" si="9"/>
        <v>4655.68</v>
      </c>
      <c r="AE22" s="85">
        <f t="shared" si="10"/>
        <v>0</v>
      </c>
      <c r="AF22" s="30">
        <f t="shared" si="19"/>
        <v>225.83999999999997</v>
      </c>
      <c r="AG22" s="30">
        <f>B22*0.2*0.9997</f>
        <v>75.257416</v>
      </c>
      <c r="AH22" s="30">
        <f>0.85*B22*0.98509</f>
        <v>315.1696946</v>
      </c>
      <c r="AI22" s="30">
        <f t="shared" si="11"/>
        <v>56.730545028</v>
      </c>
      <c r="AJ22" s="30">
        <f>0.83*B22*0.98981</f>
        <v>309.22852171999995</v>
      </c>
      <c r="AK22" s="30">
        <f t="shared" si="12"/>
        <v>55.66113390959999</v>
      </c>
      <c r="AL22" s="30">
        <f>(1.91)*B22*0.9898</f>
        <v>711.5909752</v>
      </c>
      <c r="AM22" s="30">
        <f t="shared" si="13"/>
        <v>128.086375536</v>
      </c>
      <c r="AN22" s="30"/>
      <c r="AO22" s="30">
        <f t="shared" si="14"/>
        <v>0</v>
      </c>
      <c r="AP22" s="90"/>
      <c r="AQ22" s="90">
        <f t="shared" si="15"/>
        <v>0</v>
      </c>
      <c r="AR22" s="178">
        <v>5367.42</v>
      </c>
      <c r="AS22" s="70"/>
      <c r="AT22" s="70">
        <f t="shared" si="16"/>
        <v>966.1356</v>
      </c>
      <c r="AU22" s="91"/>
      <c r="AV22" s="180">
        <v>0</v>
      </c>
      <c r="AW22" s="30">
        <f t="shared" si="20"/>
        <v>0</v>
      </c>
      <c r="AX22" s="92"/>
      <c r="AY22" s="93"/>
      <c r="AZ22" s="94"/>
      <c r="BA22" s="94">
        <f t="shared" si="3"/>
        <v>8211.1202619936</v>
      </c>
      <c r="BB22" s="179"/>
      <c r="BC22" s="18">
        <f t="shared" si="18"/>
        <v>3519.6697380064015</v>
      </c>
      <c r="BD22" s="20">
        <f t="shared" si="17"/>
        <v>3391.62</v>
      </c>
    </row>
    <row r="23" spans="1:56" ht="12.75">
      <c r="A23" s="31" t="s">
        <v>41</v>
      </c>
      <c r="B23" s="65">
        <v>376.4</v>
      </c>
      <c r="C23" s="96">
        <f t="shared" si="4"/>
        <v>3255.86</v>
      </c>
      <c r="D23" s="95">
        <f>C23-E23-F23-G23-H23-I23-J23-K23-L23-M23-N23+3263.05</f>
        <v>3787.9900000000002</v>
      </c>
      <c r="E23" s="71">
        <v>285.75</v>
      </c>
      <c r="F23" s="66">
        <v>55.18</v>
      </c>
      <c r="G23" s="66">
        <v>349.32</v>
      </c>
      <c r="H23" s="66">
        <v>74.79</v>
      </c>
      <c r="I23" s="66">
        <v>838.15</v>
      </c>
      <c r="J23" s="66">
        <v>161.83</v>
      </c>
      <c r="K23" s="66">
        <v>580.96</v>
      </c>
      <c r="L23" s="66">
        <v>112.19</v>
      </c>
      <c r="M23" s="66">
        <v>228.61</v>
      </c>
      <c r="N23" s="72">
        <v>44.14</v>
      </c>
      <c r="O23" s="186">
        <v>19436.42</v>
      </c>
      <c r="P23" s="72">
        <v>1814.91</v>
      </c>
      <c r="Q23" s="66">
        <v>0</v>
      </c>
      <c r="R23" s="66">
        <v>0</v>
      </c>
      <c r="S23" s="66">
        <f t="shared" si="5"/>
        <v>21719.21</v>
      </c>
      <c r="T23" s="81">
        <f t="shared" si="6"/>
        <v>2263.04</v>
      </c>
      <c r="U23" s="73">
        <f>167.46</f>
        <v>167.46</v>
      </c>
      <c r="V23" s="66">
        <f>226.89</f>
        <v>226.89</v>
      </c>
      <c r="W23" s="66">
        <f>486.5</f>
        <v>486.5</v>
      </c>
      <c r="X23" s="66">
        <v>337.15</v>
      </c>
      <c r="Y23" s="72">
        <v>133.97</v>
      </c>
      <c r="Z23" s="186">
        <v>3736.3</v>
      </c>
      <c r="AA23" s="72">
        <v>0</v>
      </c>
      <c r="AB23" s="72">
        <f>SUM(U23:AA23)</f>
        <v>5088.27</v>
      </c>
      <c r="AC23" s="84">
        <f>AB23+T23+D23</f>
        <v>11139.300000000001</v>
      </c>
      <c r="AD23" s="85">
        <f t="shared" si="9"/>
        <v>5551.21</v>
      </c>
      <c r="AE23" s="85">
        <f t="shared" si="10"/>
        <v>0</v>
      </c>
      <c r="AF23" s="30">
        <f t="shared" si="19"/>
        <v>225.83999999999997</v>
      </c>
      <c r="AG23" s="30">
        <f>B23*0.2</f>
        <v>75.28</v>
      </c>
      <c r="AH23" s="30">
        <f>0.847*B23</f>
        <v>318.8108</v>
      </c>
      <c r="AI23" s="30">
        <f t="shared" si="11"/>
        <v>57.385943999999995</v>
      </c>
      <c r="AJ23" s="30">
        <f>0.83*B23</f>
        <v>312.412</v>
      </c>
      <c r="AK23" s="30">
        <f t="shared" si="12"/>
        <v>56.234159999999996</v>
      </c>
      <c r="AL23" s="30">
        <f>(2.25/1.18)*B23</f>
        <v>717.7118644067797</v>
      </c>
      <c r="AM23" s="30">
        <f t="shared" si="13"/>
        <v>129.18813559322035</v>
      </c>
      <c r="AN23" s="30"/>
      <c r="AO23" s="30">
        <f t="shared" si="14"/>
        <v>0</v>
      </c>
      <c r="AP23" s="90"/>
      <c r="AQ23" s="90">
        <f t="shared" si="15"/>
        <v>0</v>
      </c>
      <c r="AR23" s="70">
        <v>0</v>
      </c>
      <c r="AS23" s="147"/>
      <c r="AT23" s="70">
        <f t="shared" si="16"/>
        <v>0</v>
      </c>
      <c r="AU23" s="91"/>
      <c r="AV23" s="177">
        <v>16080</v>
      </c>
      <c r="AW23" s="30">
        <f t="shared" si="20"/>
        <v>21251.328</v>
      </c>
      <c r="AX23" s="92"/>
      <c r="AY23" s="94"/>
      <c r="AZ23" s="94"/>
      <c r="BA23" s="94">
        <f t="shared" si="3"/>
        <v>23144.190904000003</v>
      </c>
      <c r="BB23" s="179"/>
      <c r="BC23" s="18">
        <f t="shared" si="18"/>
        <v>-12004.890904000002</v>
      </c>
      <c r="BD23" s="20">
        <f t="shared" si="17"/>
        <v>-16630.94</v>
      </c>
    </row>
    <row r="24" spans="1:56" ht="12.75">
      <c r="A24" s="12" t="s">
        <v>42</v>
      </c>
      <c r="B24" s="65">
        <v>376.4</v>
      </c>
      <c r="C24" s="96">
        <f t="shared" si="4"/>
        <v>3255.86</v>
      </c>
      <c r="D24" s="95">
        <f>C24-E24-F24-G24-H24-I24-J24-K24-L24-M24-N24+4181.18</f>
        <v>4706.120000000001</v>
      </c>
      <c r="E24" s="66">
        <v>285.75</v>
      </c>
      <c r="F24" s="66">
        <v>55.18</v>
      </c>
      <c r="G24" s="66">
        <v>349.32</v>
      </c>
      <c r="H24" s="66">
        <v>74.79</v>
      </c>
      <c r="I24" s="66">
        <v>838.15</v>
      </c>
      <c r="J24" s="66">
        <v>161.83</v>
      </c>
      <c r="K24" s="66">
        <v>580.96</v>
      </c>
      <c r="L24" s="66">
        <v>112.19</v>
      </c>
      <c r="M24" s="64">
        <v>228.61</v>
      </c>
      <c r="N24" s="137">
        <v>44.14</v>
      </c>
      <c r="O24" s="186">
        <v>16972.39</v>
      </c>
      <c r="P24" s="72">
        <v>1582.87</v>
      </c>
      <c r="Q24" s="72">
        <v>0</v>
      </c>
      <c r="R24" s="72">
        <v>0</v>
      </c>
      <c r="S24" s="66">
        <f t="shared" si="5"/>
        <v>19255.18</v>
      </c>
      <c r="T24" s="81">
        <f t="shared" si="6"/>
        <v>2031</v>
      </c>
      <c r="U24" s="66">
        <v>578.28</v>
      </c>
      <c r="V24" s="66">
        <v>755.96</v>
      </c>
      <c r="W24" s="66">
        <v>1631.29</v>
      </c>
      <c r="X24" s="66">
        <v>1130.61</v>
      </c>
      <c r="Y24" s="72">
        <v>446.4</v>
      </c>
      <c r="Z24" s="186">
        <v>16323.3</v>
      </c>
      <c r="AA24" s="72">
        <v>0</v>
      </c>
      <c r="AB24" s="72">
        <f>SUM(U24:AA24)</f>
        <v>20865.839999999997</v>
      </c>
      <c r="AC24" s="84">
        <f>D24+T24+AB24</f>
        <v>27602.96</v>
      </c>
      <c r="AD24" s="85">
        <f t="shared" si="9"/>
        <v>17906.17</v>
      </c>
      <c r="AE24" s="85">
        <f t="shared" si="10"/>
        <v>0</v>
      </c>
      <c r="AF24" s="30">
        <f t="shared" si="19"/>
        <v>225.83999999999997</v>
      </c>
      <c r="AG24" s="30">
        <f>B24*0.2</f>
        <v>75.28</v>
      </c>
      <c r="AH24" s="30">
        <f>0.85*B24</f>
        <v>319.94</v>
      </c>
      <c r="AI24" s="30">
        <f t="shared" si="11"/>
        <v>57.5892</v>
      </c>
      <c r="AJ24" s="30">
        <f>0.83*B24</f>
        <v>312.412</v>
      </c>
      <c r="AK24" s="30">
        <f t="shared" si="12"/>
        <v>56.234159999999996</v>
      </c>
      <c r="AL24" s="30">
        <f>(1.91)*B24</f>
        <v>718.924</v>
      </c>
      <c r="AM24" s="30">
        <f t="shared" si="13"/>
        <v>129.40632</v>
      </c>
      <c r="AN24" s="30"/>
      <c r="AO24" s="30">
        <f t="shared" si="14"/>
        <v>0</v>
      </c>
      <c r="AP24" s="90"/>
      <c r="AQ24" s="90">
        <f t="shared" si="15"/>
        <v>0</v>
      </c>
      <c r="AR24" s="70">
        <v>0</v>
      </c>
      <c r="AS24" s="147"/>
      <c r="AT24" s="70">
        <f t="shared" si="16"/>
        <v>0</v>
      </c>
      <c r="AU24" s="91"/>
      <c r="AV24" s="177">
        <v>14040</v>
      </c>
      <c r="AW24" s="30">
        <f t="shared" si="20"/>
        <v>18555.264</v>
      </c>
      <c r="AX24" s="92"/>
      <c r="AY24" s="93"/>
      <c r="AZ24" s="94"/>
      <c r="BA24" s="94">
        <f>SUM(AF24:AT24)+AW24</f>
        <v>20450.88968</v>
      </c>
      <c r="BB24" s="179"/>
      <c r="BC24" s="18">
        <f t="shared" si="18"/>
        <v>7152.070319999999</v>
      </c>
      <c r="BD24" s="20">
        <f t="shared" si="17"/>
        <v>1610.6599999999962</v>
      </c>
    </row>
    <row r="25" spans="1:56" ht="12.75">
      <c r="A25" s="12" t="s">
        <v>43</v>
      </c>
      <c r="B25" s="65">
        <v>376.4</v>
      </c>
      <c r="C25" s="96">
        <f t="shared" si="4"/>
        <v>3255.86</v>
      </c>
      <c r="D25" s="95">
        <f>C25-E25-F25-G25-H25-I25-J25-K25-L25-M25-N25+2647.81</f>
        <v>3172.75</v>
      </c>
      <c r="E25" s="66">
        <v>285.75</v>
      </c>
      <c r="F25" s="66">
        <v>55.18</v>
      </c>
      <c r="G25" s="66">
        <v>349.32</v>
      </c>
      <c r="H25" s="66">
        <v>74.79</v>
      </c>
      <c r="I25" s="66">
        <v>838.15</v>
      </c>
      <c r="J25" s="66">
        <v>161.83</v>
      </c>
      <c r="K25" s="66">
        <v>580.96</v>
      </c>
      <c r="L25" s="66">
        <v>112.19</v>
      </c>
      <c r="M25" s="64">
        <v>228.61</v>
      </c>
      <c r="N25" s="137">
        <v>44.14</v>
      </c>
      <c r="O25" s="186">
        <v>22849.57</v>
      </c>
      <c r="P25" s="72">
        <v>2155.1</v>
      </c>
      <c r="Q25" s="72"/>
      <c r="R25" s="72"/>
      <c r="S25" s="66">
        <f t="shared" si="5"/>
        <v>25132.36</v>
      </c>
      <c r="T25" s="81">
        <f t="shared" si="6"/>
        <v>2603.2299999999996</v>
      </c>
      <c r="U25" s="66">
        <v>294.76</v>
      </c>
      <c r="V25" s="66">
        <v>399.57</v>
      </c>
      <c r="W25" s="66">
        <v>864.67</v>
      </c>
      <c r="X25" s="66">
        <v>599.36</v>
      </c>
      <c r="Y25" s="72">
        <v>235.84</v>
      </c>
      <c r="Z25" s="186">
        <v>12862.06</v>
      </c>
      <c r="AA25" s="72">
        <v>0</v>
      </c>
      <c r="AB25" s="72">
        <f>SUM(U25:AA25)</f>
        <v>15256.26</v>
      </c>
      <c r="AC25" s="84">
        <f>D25+T25+AB25</f>
        <v>21032.239999999998</v>
      </c>
      <c r="AD25" s="85">
        <f t="shared" si="9"/>
        <v>15017.16</v>
      </c>
      <c r="AE25" s="85">
        <f t="shared" si="10"/>
        <v>0</v>
      </c>
      <c r="AF25" s="30">
        <f t="shared" si="19"/>
        <v>225.83999999999997</v>
      </c>
      <c r="AG25" s="30">
        <f>B25*0.2</f>
        <v>75.28</v>
      </c>
      <c r="AH25" s="30">
        <f>0.85*B25</f>
        <v>319.94</v>
      </c>
      <c r="AI25" s="30">
        <f t="shared" si="11"/>
        <v>57.5892</v>
      </c>
      <c r="AJ25" s="30">
        <f>0.83*B25</f>
        <v>312.412</v>
      </c>
      <c r="AK25" s="30">
        <f t="shared" si="12"/>
        <v>56.234159999999996</v>
      </c>
      <c r="AL25" s="30">
        <f>(1.91)*B25</f>
        <v>718.924</v>
      </c>
      <c r="AM25" s="30">
        <f t="shared" si="13"/>
        <v>129.40632</v>
      </c>
      <c r="AN25" s="30"/>
      <c r="AO25" s="30">
        <f t="shared" si="14"/>
        <v>0</v>
      </c>
      <c r="AP25" s="90"/>
      <c r="AQ25" s="90">
        <f t="shared" si="15"/>
        <v>0</v>
      </c>
      <c r="AR25" s="70">
        <v>1253</v>
      </c>
      <c r="AS25" s="147">
        <f>2*389+322.8+2267</f>
        <v>3367.8</v>
      </c>
      <c r="AT25" s="70">
        <f t="shared" si="16"/>
        <v>831.744</v>
      </c>
      <c r="AU25" s="91"/>
      <c r="AV25" s="177">
        <v>18920</v>
      </c>
      <c r="AW25" s="30">
        <f t="shared" si="20"/>
        <v>25004.672</v>
      </c>
      <c r="AX25" s="92"/>
      <c r="AY25" s="93"/>
      <c r="AZ25" s="94"/>
      <c r="BA25" s="94">
        <f t="shared" si="3"/>
        <v>32352.841679999998</v>
      </c>
      <c r="BB25" s="179"/>
      <c r="BC25" s="18">
        <f t="shared" si="18"/>
        <v>-11320.60168</v>
      </c>
      <c r="BD25" s="20">
        <f t="shared" si="17"/>
        <v>-9876.1</v>
      </c>
    </row>
    <row r="26" spans="1:56" s="319" customFormat="1" ht="12.75">
      <c r="A26" s="317"/>
      <c r="B26" s="318"/>
      <c r="C26" s="318">
        <f aca="true" t="shared" si="21" ref="C26:BC26">SUM(C14:C25)</f>
        <v>39070.32</v>
      </c>
      <c r="D26" s="318">
        <f t="shared" si="21"/>
        <v>45201.4</v>
      </c>
      <c r="E26" s="318">
        <f t="shared" si="21"/>
        <v>3311.9700000000003</v>
      </c>
      <c r="F26" s="318">
        <f t="shared" si="21"/>
        <v>637.5999999999999</v>
      </c>
      <c r="G26" s="318">
        <f t="shared" si="21"/>
        <v>4043.1600000000008</v>
      </c>
      <c r="H26" s="318">
        <f t="shared" si="21"/>
        <v>863.1199999999999</v>
      </c>
      <c r="I26" s="318">
        <f t="shared" si="21"/>
        <v>9487.939999999999</v>
      </c>
      <c r="J26" s="318">
        <f t="shared" si="21"/>
        <v>1826.7199999999998</v>
      </c>
      <c r="K26" s="318">
        <f t="shared" si="21"/>
        <v>6570.960000000001</v>
      </c>
      <c r="L26" s="318">
        <f t="shared" si="21"/>
        <v>1265.3600000000004</v>
      </c>
      <c r="M26" s="318">
        <f t="shared" si="21"/>
        <v>2649.630000000001</v>
      </c>
      <c r="N26" s="318">
        <f t="shared" si="21"/>
        <v>510.0399999999999</v>
      </c>
      <c r="O26" s="318">
        <f t="shared" si="21"/>
        <v>97455.39000000001</v>
      </c>
      <c r="P26" s="318">
        <f t="shared" si="21"/>
        <v>9558.869999999999</v>
      </c>
      <c r="Q26" s="318">
        <f t="shared" si="21"/>
        <v>0</v>
      </c>
      <c r="R26" s="318">
        <f t="shared" si="21"/>
        <v>0</v>
      </c>
      <c r="S26" s="318">
        <f t="shared" si="21"/>
        <v>123519.05</v>
      </c>
      <c r="T26" s="318">
        <f t="shared" si="21"/>
        <v>14661.71</v>
      </c>
      <c r="U26" s="318">
        <f t="shared" si="21"/>
        <v>3169.1100000000006</v>
      </c>
      <c r="V26" s="318">
        <f t="shared" si="21"/>
        <v>3964.11</v>
      </c>
      <c r="W26" s="318">
        <f t="shared" si="21"/>
        <v>8804.949999999999</v>
      </c>
      <c r="X26" s="318">
        <f t="shared" si="21"/>
        <v>6094.879999999999</v>
      </c>
      <c r="Y26" s="318">
        <f t="shared" si="21"/>
        <v>2535.34</v>
      </c>
      <c r="Z26" s="318">
        <f t="shared" si="21"/>
        <v>75601.84</v>
      </c>
      <c r="AA26" s="318">
        <f t="shared" si="21"/>
        <v>0</v>
      </c>
      <c r="AB26" s="318">
        <f t="shared" si="21"/>
        <v>100170.23</v>
      </c>
      <c r="AC26" s="318">
        <f t="shared" si="21"/>
        <v>160033.34</v>
      </c>
      <c r="AD26" s="318">
        <f t="shared" si="21"/>
        <v>85160.70999999999</v>
      </c>
      <c r="AE26" s="318">
        <f t="shared" si="21"/>
        <v>0</v>
      </c>
      <c r="AF26" s="318">
        <f t="shared" si="21"/>
        <v>2619.7439999999997</v>
      </c>
      <c r="AG26" s="318">
        <f t="shared" si="21"/>
        <v>877.0917968</v>
      </c>
      <c r="AH26" s="318">
        <f t="shared" si="21"/>
        <v>3662.467743</v>
      </c>
      <c r="AI26" s="318">
        <f t="shared" si="21"/>
        <v>659.2441937399999</v>
      </c>
      <c r="AJ26" s="318">
        <f t="shared" si="21"/>
        <v>3559.9378641199996</v>
      </c>
      <c r="AK26" s="318">
        <f t="shared" si="21"/>
        <v>640.7888155415999</v>
      </c>
      <c r="AL26" s="318">
        <f t="shared" si="21"/>
        <v>8191.07062920678</v>
      </c>
      <c r="AM26" s="318">
        <f t="shared" si="21"/>
        <v>1474.3927132572203</v>
      </c>
      <c r="AN26" s="318">
        <f t="shared" si="21"/>
        <v>0</v>
      </c>
      <c r="AO26" s="318">
        <f t="shared" si="21"/>
        <v>0</v>
      </c>
      <c r="AP26" s="318">
        <f t="shared" si="21"/>
        <v>5320</v>
      </c>
      <c r="AQ26" s="318">
        <f t="shared" si="21"/>
        <v>957.5999999999999</v>
      </c>
      <c r="AR26" s="318">
        <f t="shared" si="21"/>
        <v>20006.7</v>
      </c>
      <c r="AS26" s="318">
        <f t="shared" si="21"/>
        <v>3367.8</v>
      </c>
      <c r="AT26" s="318">
        <f t="shared" si="21"/>
        <v>4207.41</v>
      </c>
      <c r="AU26" s="318">
        <f t="shared" si="21"/>
        <v>0</v>
      </c>
      <c r="AV26" s="318"/>
      <c r="AW26" s="318">
        <f t="shared" si="21"/>
        <v>179764.03</v>
      </c>
      <c r="AX26" s="318">
        <f t="shared" si="21"/>
        <v>0</v>
      </c>
      <c r="AY26" s="318">
        <f t="shared" si="21"/>
        <v>0</v>
      </c>
      <c r="AZ26" s="318">
        <f t="shared" si="21"/>
        <v>0</v>
      </c>
      <c r="BA26" s="318">
        <f>SUM(BA14:BA25)</f>
        <v>235308.2777556656</v>
      </c>
      <c r="BB26" s="318">
        <f t="shared" si="21"/>
        <v>0</v>
      </c>
      <c r="BC26" s="318">
        <f t="shared" si="21"/>
        <v>-75274.93775566563</v>
      </c>
      <c r="BD26" s="318">
        <f>SUM(BD14:BD25)</f>
        <v>-23348.82</v>
      </c>
    </row>
    <row r="27" spans="1:56" ht="12.75">
      <c r="A27" s="12"/>
      <c r="B27" s="307"/>
      <c r="C27" s="308"/>
      <c r="D27" s="309"/>
      <c r="E27" s="72"/>
      <c r="F27" s="72"/>
      <c r="G27" s="72"/>
      <c r="H27" s="72"/>
      <c r="I27" s="72"/>
      <c r="J27" s="72"/>
      <c r="K27" s="72"/>
      <c r="L27" s="72"/>
      <c r="M27" s="137"/>
      <c r="N27" s="137"/>
      <c r="O27" s="186"/>
      <c r="P27" s="72"/>
      <c r="Q27" s="72"/>
      <c r="R27" s="72"/>
      <c r="S27" s="72"/>
      <c r="T27" s="81"/>
      <c r="U27" s="72"/>
      <c r="V27" s="72"/>
      <c r="W27" s="72"/>
      <c r="X27" s="72"/>
      <c r="Y27" s="72"/>
      <c r="Z27" s="186"/>
      <c r="AA27" s="72"/>
      <c r="AB27" s="72"/>
      <c r="AC27" s="84"/>
      <c r="AD27" s="84"/>
      <c r="AE27" s="8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310"/>
      <c r="AQ27" s="310"/>
      <c r="AR27" s="311"/>
      <c r="AS27" s="312"/>
      <c r="AT27" s="311"/>
      <c r="AU27" s="313"/>
      <c r="AV27" s="314"/>
      <c r="AW27" s="94"/>
      <c r="AX27" s="315"/>
      <c r="AY27" s="93"/>
      <c r="AZ27" s="94"/>
      <c r="BA27" s="316"/>
      <c r="BB27" s="107"/>
      <c r="BC27" s="316"/>
      <c r="BD27" s="20"/>
    </row>
    <row r="28" spans="1:56" ht="12.75">
      <c r="A28" s="21" t="s">
        <v>5</v>
      </c>
      <c r="B28" s="22"/>
      <c r="C28" s="26">
        <f aca="true" t="shared" si="22" ref="C28:BC28">SUM(C14:C25)+C12</f>
        <v>48874.229999999996</v>
      </c>
      <c r="D28" s="26">
        <f t="shared" si="22"/>
        <v>47561.2338167</v>
      </c>
      <c r="E28" s="26">
        <f t="shared" si="22"/>
        <v>4083.65</v>
      </c>
      <c r="F28" s="26">
        <f t="shared" si="22"/>
        <v>784.7199999999999</v>
      </c>
      <c r="G28" s="26">
        <f t="shared" si="22"/>
        <v>4982.170000000001</v>
      </c>
      <c r="H28" s="26">
        <f t="shared" si="22"/>
        <v>1061.7199999999998</v>
      </c>
      <c r="I28" s="26">
        <f t="shared" si="22"/>
        <v>11027.05</v>
      </c>
      <c r="J28" s="26">
        <f t="shared" si="22"/>
        <v>2120.3599999999997</v>
      </c>
      <c r="K28" s="26">
        <f t="shared" si="22"/>
        <v>7631.660000000001</v>
      </c>
      <c r="L28" s="26">
        <f t="shared" si="22"/>
        <v>1467.6800000000003</v>
      </c>
      <c r="M28" s="26">
        <f t="shared" si="22"/>
        <v>3266.980000000001</v>
      </c>
      <c r="N28" s="26">
        <f t="shared" si="22"/>
        <v>627.7299999999999</v>
      </c>
      <c r="O28" s="26">
        <f t="shared" si="22"/>
        <v>97455.39000000001</v>
      </c>
      <c r="P28" s="26">
        <f t="shared" si="22"/>
        <v>9558.869999999999</v>
      </c>
      <c r="Q28" s="26">
        <f t="shared" si="22"/>
        <v>0</v>
      </c>
      <c r="R28" s="26">
        <f t="shared" si="22"/>
        <v>0</v>
      </c>
      <c r="S28" s="26">
        <f t="shared" si="22"/>
        <v>128446.90000000001</v>
      </c>
      <c r="T28" s="26">
        <f t="shared" si="22"/>
        <v>15621.08</v>
      </c>
      <c r="U28" s="26">
        <f t="shared" si="22"/>
        <v>3557.0700000000006</v>
      </c>
      <c r="V28" s="26">
        <f t="shared" si="22"/>
        <v>4424.83</v>
      </c>
      <c r="W28" s="26">
        <f t="shared" si="22"/>
        <v>9487.65</v>
      </c>
      <c r="X28" s="26">
        <f t="shared" si="22"/>
        <v>6564.589999999999</v>
      </c>
      <c r="Y28" s="26">
        <f t="shared" si="22"/>
        <v>2845.7200000000003</v>
      </c>
      <c r="Z28" s="26">
        <f t="shared" si="22"/>
        <v>75601.84</v>
      </c>
      <c r="AA28" s="26">
        <f t="shared" si="22"/>
        <v>0</v>
      </c>
      <c r="AB28" s="26">
        <f t="shared" si="22"/>
        <v>102481.7</v>
      </c>
      <c r="AC28" s="26">
        <f t="shared" si="22"/>
        <v>165664.0138167</v>
      </c>
      <c r="AD28" s="26">
        <f t="shared" si="22"/>
        <v>85160.70999999999</v>
      </c>
      <c r="AE28" s="26">
        <f t="shared" si="22"/>
        <v>0</v>
      </c>
      <c r="AF28" s="26">
        <f aca="true" t="shared" si="23" ref="AF28:AZ28">AF26+AF12</f>
        <v>3299.7839999999997</v>
      </c>
      <c r="AG28" s="26">
        <f t="shared" si="23"/>
        <v>1110.4588568</v>
      </c>
      <c r="AH28" s="26">
        <f t="shared" si="23"/>
        <v>4626.960919</v>
      </c>
      <c r="AI28" s="26">
        <f t="shared" si="23"/>
        <v>832.8529654199999</v>
      </c>
      <c r="AJ28" s="26">
        <f t="shared" si="23"/>
        <v>4682.30277948</v>
      </c>
      <c r="AK28" s="26">
        <f t="shared" si="23"/>
        <v>842.8145003063999</v>
      </c>
      <c r="AL28" s="26">
        <f t="shared" si="23"/>
        <v>10252.33696414678</v>
      </c>
      <c r="AM28" s="26">
        <f t="shared" si="23"/>
        <v>1845.4206535464202</v>
      </c>
      <c r="AN28" s="26">
        <f t="shared" si="23"/>
        <v>0</v>
      </c>
      <c r="AO28" s="26">
        <f t="shared" si="23"/>
        <v>0</v>
      </c>
      <c r="AP28" s="26">
        <f t="shared" si="23"/>
        <v>5320</v>
      </c>
      <c r="AQ28" s="26">
        <f t="shared" si="23"/>
        <v>957.5999999999999</v>
      </c>
      <c r="AR28" s="26">
        <f t="shared" si="23"/>
        <v>23581.08</v>
      </c>
      <c r="AS28" s="26">
        <f t="shared" si="23"/>
        <v>3367.8</v>
      </c>
      <c r="AT28" s="26">
        <f t="shared" si="23"/>
        <v>4850.7984</v>
      </c>
      <c r="AU28" s="26">
        <f t="shared" si="23"/>
        <v>0</v>
      </c>
      <c r="AV28" s="26">
        <f t="shared" si="23"/>
        <v>0</v>
      </c>
      <c r="AW28" s="26">
        <f t="shared" si="23"/>
        <v>179764.03</v>
      </c>
      <c r="AX28" s="26">
        <f t="shared" si="23"/>
        <v>0</v>
      </c>
      <c r="AY28" s="26">
        <f t="shared" si="23"/>
        <v>0</v>
      </c>
      <c r="AZ28" s="26">
        <f t="shared" si="23"/>
        <v>0</v>
      </c>
      <c r="BA28" s="26">
        <f>BA26+BA12</f>
        <v>245334.2400386996</v>
      </c>
      <c r="BB28" s="26">
        <f t="shared" si="22"/>
        <v>0</v>
      </c>
      <c r="BC28" s="26">
        <f t="shared" si="22"/>
        <v>-79670.22622199962</v>
      </c>
      <c r="BD28" s="26">
        <f>BD26+BD12</f>
        <v>-25965.2</v>
      </c>
    </row>
    <row r="29" spans="1:56" ht="12.75">
      <c r="A29" s="5" t="s">
        <v>82</v>
      </c>
      <c r="B29" s="13"/>
      <c r="C29" s="14"/>
      <c r="D29" s="14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62"/>
      <c r="P29" s="16"/>
      <c r="Q29" s="15"/>
      <c r="R29" s="15"/>
      <c r="S29" s="15"/>
      <c r="T29" s="15"/>
      <c r="U29" s="28"/>
      <c r="V29" s="28"/>
      <c r="W29" s="28"/>
      <c r="X29" s="28"/>
      <c r="Y29" s="28"/>
      <c r="Z29" s="28"/>
      <c r="AA29" s="17"/>
      <c r="AB29" s="17"/>
      <c r="AC29" s="75"/>
      <c r="AD29" s="76"/>
      <c r="AE29" s="76"/>
      <c r="AF29" s="18"/>
      <c r="AG29" s="18"/>
      <c r="AH29" s="18"/>
      <c r="AI29" s="18"/>
      <c r="AJ29" s="18"/>
      <c r="AK29" s="18"/>
      <c r="AL29" s="18"/>
      <c r="AM29" s="18"/>
      <c r="AN29" s="19"/>
      <c r="AO29" s="19"/>
      <c r="AP29" s="19"/>
      <c r="AQ29" s="19"/>
      <c r="AR29" s="69"/>
      <c r="AS29" s="69"/>
      <c r="AT29" s="29"/>
      <c r="AU29" s="18"/>
      <c r="AV29" s="18"/>
      <c r="AW29" s="19"/>
      <c r="AX29" s="19"/>
      <c r="AY29" s="19"/>
      <c r="AZ29" s="18"/>
      <c r="BA29" s="18"/>
      <c r="BB29" s="18"/>
      <c r="BC29" s="18"/>
      <c r="BD29" s="20"/>
    </row>
    <row r="30" spans="1:56" ht="12.75">
      <c r="A30" s="12" t="s">
        <v>45</v>
      </c>
      <c r="B30" s="65">
        <v>376.4</v>
      </c>
      <c r="C30" s="96">
        <f>B30*8.65</f>
        <v>3255.86</v>
      </c>
      <c r="D30" s="95">
        <f>C30-E30-F30-G30-H30-I30-J30-K30-L30-M30-N30+3322.65+2923.2</f>
        <v>6770.79</v>
      </c>
      <c r="E30" s="66">
        <v>285.75</v>
      </c>
      <c r="F30" s="66">
        <v>55.18</v>
      </c>
      <c r="G30" s="66">
        <v>349.32</v>
      </c>
      <c r="H30" s="66">
        <v>74.79</v>
      </c>
      <c r="I30" s="66">
        <v>838.15</v>
      </c>
      <c r="J30" s="66">
        <v>161.83</v>
      </c>
      <c r="K30" s="66">
        <v>580.96</v>
      </c>
      <c r="L30" s="66">
        <v>112.19</v>
      </c>
      <c r="M30" s="64">
        <v>228.61</v>
      </c>
      <c r="N30" s="137">
        <v>44.14</v>
      </c>
      <c r="O30" s="186">
        <v>26735.43</v>
      </c>
      <c r="P30" s="72">
        <v>2495.8</v>
      </c>
      <c r="Q30" s="72"/>
      <c r="R30" s="72"/>
      <c r="S30" s="66">
        <f aca="true" t="shared" si="24" ref="S30:S41">E30+G30+I30+K30+M30+O30+Q30</f>
        <v>29018.22</v>
      </c>
      <c r="T30" s="81">
        <f aca="true" t="shared" si="25" ref="T30:T41">P30+N30+L30+J30+H30+F30+R30</f>
        <v>2943.93</v>
      </c>
      <c r="U30" s="66">
        <v>52.78</v>
      </c>
      <c r="V30" s="66">
        <v>71.5</v>
      </c>
      <c r="W30" s="66">
        <v>154.8</v>
      </c>
      <c r="X30" s="66">
        <v>107.29</v>
      </c>
      <c r="Y30" s="72">
        <v>42.24</v>
      </c>
      <c r="Z30" s="186">
        <v>7678.05</v>
      </c>
      <c r="AA30" s="72">
        <v>0</v>
      </c>
      <c r="AB30" s="72">
        <f aca="true" t="shared" si="26" ref="AB30:AB36">SUM(U30:AA30)</f>
        <v>8106.66</v>
      </c>
      <c r="AC30" s="84">
        <f aca="true" t="shared" si="27" ref="AC30:AC41">D30+T30+AB30</f>
        <v>17821.379999999997</v>
      </c>
      <c r="AD30" s="85">
        <f aca="true" t="shared" si="28" ref="AD30:AD41">P30+Z30</f>
        <v>10173.85</v>
      </c>
      <c r="AE30" s="85">
        <f aca="true" t="shared" si="29" ref="AE30:AE41">R30+AA30</f>
        <v>0</v>
      </c>
      <c r="AF30" s="30">
        <f aca="true" t="shared" si="30" ref="AF30:AF36">0.6*B30</f>
        <v>225.83999999999997</v>
      </c>
      <c r="AG30" s="30">
        <f aca="true" t="shared" si="31" ref="AG30:AG36">B30*0.2</f>
        <v>75.28</v>
      </c>
      <c r="AH30" s="30">
        <f aca="true" t="shared" si="32" ref="AH30:AH36">1*B30</f>
        <v>376.4</v>
      </c>
      <c r="AI30" s="30">
        <v>0</v>
      </c>
      <c r="AJ30" s="30">
        <f aca="true" t="shared" si="33" ref="AJ30:AJ36">0.98*B30</f>
        <v>368.87199999999996</v>
      </c>
      <c r="AK30" s="30">
        <v>0</v>
      </c>
      <c r="AL30" s="30">
        <f aca="true" t="shared" si="34" ref="AL30:AL36">2.25*B30</f>
        <v>846.9</v>
      </c>
      <c r="AM30" s="30">
        <v>0</v>
      </c>
      <c r="AN30" s="30"/>
      <c r="AO30" s="30">
        <v>0</v>
      </c>
      <c r="AP30" s="90"/>
      <c r="AQ30" s="90"/>
      <c r="AR30" s="147">
        <v>4915</v>
      </c>
      <c r="AS30" s="70"/>
      <c r="AT30" s="70">
        <f>AS30*0.18</f>
        <v>0</v>
      </c>
      <c r="AU30" s="91"/>
      <c r="AV30" s="177">
        <v>20880</v>
      </c>
      <c r="AW30" s="30">
        <f aca="true" t="shared" si="35" ref="AW30:AW41">AV30*1.4</f>
        <v>29231.999999999996</v>
      </c>
      <c r="AX30" s="92"/>
      <c r="AY30" s="93"/>
      <c r="AZ30" s="94"/>
      <c r="BA30" s="94">
        <f>SUM(AF30:AZ30)-AU30-AV30</f>
        <v>36040.292</v>
      </c>
      <c r="BB30" s="107"/>
      <c r="BC30" s="18">
        <f>AC30-BA30</f>
        <v>-18218.912000000004</v>
      </c>
      <c r="BD30" s="20">
        <f>AB30-S30</f>
        <v>-20911.56</v>
      </c>
    </row>
    <row r="31" spans="1:56" ht="12.75">
      <c r="A31" s="12" t="s">
        <v>46</v>
      </c>
      <c r="B31" s="82">
        <v>376.4</v>
      </c>
      <c r="C31" s="96">
        <f>B31*8.65</f>
        <v>3255.86</v>
      </c>
      <c r="D31" s="95">
        <f>C31-E31-F31-G31-H31-I31-J31-K31-L31-M31-N31+4507.25+2797.2</f>
        <v>7832.740000000001</v>
      </c>
      <c r="E31" s="71">
        <v>285.33</v>
      </c>
      <c r="F31" s="66">
        <v>55.18</v>
      </c>
      <c r="G31" s="66">
        <v>348.77</v>
      </c>
      <c r="H31" s="66">
        <v>74.79</v>
      </c>
      <c r="I31" s="66">
        <v>836.94</v>
      </c>
      <c r="J31" s="66">
        <v>161.83</v>
      </c>
      <c r="K31" s="66">
        <v>580.13</v>
      </c>
      <c r="L31" s="66">
        <v>112.19</v>
      </c>
      <c r="M31" s="64">
        <v>228.27</v>
      </c>
      <c r="N31" s="137">
        <v>44.14</v>
      </c>
      <c r="O31" s="186">
        <v>25582.16</v>
      </c>
      <c r="P31" s="72">
        <v>2388.14</v>
      </c>
      <c r="Q31" s="72">
        <v>0</v>
      </c>
      <c r="R31" s="72">
        <v>0</v>
      </c>
      <c r="S31" s="66">
        <f t="shared" si="24"/>
        <v>27861.6</v>
      </c>
      <c r="T31" s="81">
        <f t="shared" si="25"/>
        <v>2836.2699999999995</v>
      </c>
      <c r="U31" s="66">
        <v>85.67</v>
      </c>
      <c r="V31" s="66">
        <v>116.1</v>
      </c>
      <c r="W31" s="66">
        <v>251.29</v>
      </c>
      <c r="X31" s="66">
        <v>174.19</v>
      </c>
      <c r="Y31" s="72">
        <v>68.54</v>
      </c>
      <c r="Z31" s="186">
        <v>11164.98</v>
      </c>
      <c r="AA31" s="72">
        <v>0</v>
      </c>
      <c r="AB31" s="72">
        <f t="shared" si="26"/>
        <v>11860.77</v>
      </c>
      <c r="AC31" s="84">
        <f t="shared" si="27"/>
        <v>22529.78</v>
      </c>
      <c r="AD31" s="85">
        <f t="shared" si="28"/>
        <v>13553.119999999999</v>
      </c>
      <c r="AE31" s="85">
        <f t="shared" si="29"/>
        <v>0</v>
      </c>
      <c r="AF31" s="30">
        <f t="shared" si="30"/>
        <v>225.83999999999997</v>
      </c>
      <c r="AG31" s="30">
        <f t="shared" si="31"/>
        <v>75.28</v>
      </c>
      <c r="AH31" s="30">
        <f t="shared" si="32"/>
        <v>376.4</v>
      </c>
      <c r="AI31" s="30">
        <v>0</v>
      </c>
      <c r="AJ31" s="30">
        <f t="shared" si="33"/>
        <v>368.87199999999996</v>
      </c>
      <c r="AK31" s="30">
        <v>0</v>
      </c>
      <c r="AL31" s="30">
        <f t="shared" si="34"/>
        <v>846.9</v>
      </c>
      <c r="AM31" s="30">
        <v>0</v>
      </c>
      <c r="AN31" s="30"/>
      <c r="AO31" s="30"/>
      <c r="AP31" s="90"/>
      <c r="AQ31" s="90"/>
      <c r="AR31" s="147"/>
      <c r="AS31" s="70"/>
      <c r="AT31" s="70">
        <f>AS31*0.18</f>
        <v>0</v>
      </c>
      <c r="AU31" s="91"/>
      <c r="AV31" s="177">
        <v>19980</v>
      </c>
      <c r="AW31" s="30">
        <f t="shared" si="35"/>
        <v>27972</v>
      </c>
      <c r="AX31" s="92"/>
      <c r="AY31" s="94"/>
      <c r="AZ31" s="94"/>
      <c r="BA31" s="94">
        <f aca="true" t="shared" si="36" ref="BA31:BA41">SUM(AF31:AZ31)-AU31-AV31</f>
        <v>29865.292</v>
      </c>
      <c r="BB31" s="107"/>
      <c r="BC31" s="18">
        <f aca="true" t="shared" si="37" ref="BC31:BC41">AC31-BA31</f>
        <v>-7335.512000000002</v>
      </c>
      <c r="BD31" s="20">
        <f>AB31-S31</f>
        <v>-16000.829999999998</v>
      </c>
    </row>
    <row r="32" spans="1:56" ht="12.75">
      <c r="A32" s="12" t="s">
        <v>47</v>
      </c>
      <c r="B32" s="206">
        <v>376.4</v>
      </c>
      <c r="C32" s="96">
        <f>B32*8.65</f>
        <v>3255.86</v>
      </c>
      <c r="D32" s="95">
        <f>C32-E32-F32-G32-H32-I32-J32-K32-L32-M32-N32+2405.38+2352</f>
        <v>5289.52</v>
      </c>
      <c r="E32" s="144">
        <v>284.85</v>
      </c>
      <c r="F32" s="144">
        <v>55.18</v>
      </c>
      <c r="G32" s="144">
        <v>348.15</v>
      </c>
      <c r="H32" s="144">
        <v>74.79</v>
      </c>
      <c r="I32" s="144">
        <v>835.54</v>
      </c>
      <c r="J32" s="144">
        <v>161.83</v>
      </c>
      <c r="K32" s="144">
        <v>579.16</v>
      </c>
      <c r="L32" s="144">
        <v>112.19</v>
      </c>
      <c r="M32" s="145">
        <v>227.89</v>
      </c>
      <c r="N32" s="219">
        <v>44.14</v>
      </c>
      <c r="O32" s="186">
        <f>19361.33-5229</f>
        <v>14132.330000000002</v>
      </c>
      <c r="P32" s="220">
        <v>1807.41</v>
      </c>
      <c r="Q32" s="220">
        <v>0</v>
      </c>
      <c r="R32" s="220">
        <v>0</v>
      </c>
      <c r="S32" s="158">
        <f t="shared" si="24"/>
        <v>16407.920000000002</v>
      </c>
      <c r="T32" s="221">
        <f t="shared" si="25"/>
        <v>2255.54</v>
      </c>
      <c r="U32" s="144">
        <v>197.89</v>
      </c>
      <c r="V32" s="144">
        <v>268.21</v>
      </c>
      <c r="W32" s="144">
        <v>580.43</v>
      </c>
      <c r="X32" s="144">
        <v>402.3</v>
      </c>
      <c r="Y32" s="220">
        <v>158.32</v>
      </c>
      <c r="Z32" s="186">
        <v>26938.2</v>
      </c>
      <c r="AA32" s="220">
        <v>0</v>
      </c>
      <c r="AB32" s="220">
        <f t="shared" si="26"/>
        <v>28545.350000000002</v>
      </c>
      <c r="AC32" s="224">
        <f t="shared" si="27"/>
        <v>36090.41</v>
      </c>
      <c r="AD32" s="225">
        <f t="shared" si="28"/>
        <v>28745.61</v>
      </c>
      <c r="AE32" s="225">
        <f t="shared" si="29"/>
        <v>0</v>
      </c>
      <c r="AF32" s="211">
        <f>0.6*B32</f>
        <v>225.83999999999997</v>
      </c>
      <c r="AG32" s="211">
        <f>B32*0.2</f>
        <v>75.28</v>
      </c>
      <c r="AH32" s="211">
        <f>1*B32</f>
        <v>376.4</v>
      </c>
      <c r="AI32" s="211">
        <v>0</v>
      </c>
      <c r="AJ32" s="211">
        <f>0.98*B32</f>
        <v>368.87199999999996</v>
      </c>
      <c r="AK32" s="211">
        <v>0</v>
      </c>
      <c r="AL32" s="211">
        <f>2.25*B32</f>
        <v>846.9</v>
      </c>
      <c r="AM32" s="211">
        <v>0</v>
      </c>
      <c r="AN32" s="211"/>
      <c r="AO32" s="211"/>
      <c r="AP32" s="181">
        <v>5599</v>
      </c>
      <c r="AQ32" s="226"/>
      <c r="AR32" s="147"/>
      <c r="AS32" s="227"/>
      <c r="AT32" s="227">
        <f>AS32*0.18</f>
        <v>0</v>
      </c>
      <c r="AU32" s="228"/>
      <c r="AV32" s="229">
        <v>16800</v>
      </c>
      <c r="AW32" s="211">
        <f t="shared" si="35"/>
        <v>23520</v>
      </c>
      <c r="AX32" s="92"/>
      <c r="AY32" s="222"/>
      <c r="AZ32" s="222">
        <f>AY32*0.18</f>
        <v>0</v>
      </c>
      <c r="BA32" s="94">
        <f t="shared" si="36"/>
        <v>31012.292</v>
      </c>
      <c r="BB32" s="230"/>
      <c r="BC32" s="18">
        <f t="shared" si="37"/>
        <v>5078.118000000002</v>
      </c>
      <c r="BD32" s="20">
        <f aca="true" t="shared" si="38" ref="BD32:BD41">AB32-S32</f>
        <v>12137.43</v>
      </c>
    </row>
    <row r="33" spans="1:56" ht="12.75">
      <c r="A33" s="12" t="s">
        <v>48</v>
      </c>
      <c r="B33" s="206">
        <v>376.4</v>
      </c>
      <c r="C33" s="96">
        <f>B33*8.65</f>
        <v>3255.86</v>
      </c>
      <c r="D33" s="80">
        <f>C33-E33-F33-G33-H33-I33-J33-K33-L33-M33-N33+3623.98+2079</f>
        <v>6235.120000000001</v>
      </c>
      <c r="E33" s="144">
        <v>284.85</v>
      </c>
      <c r="F33" s="144">
        <v>55.18</v>
      </c>
      <c r="G33" s="144">
        <v>348.15</v>
      </c>
      <c r="H33" s="144">
        <v>74.79</v>
      </c>
      <c r="I33" s="144">
        <v>835.54</v>
      </c>
      <c r="J33" s="144">
        <v>161.83</v>
      </c>
      <c r="K33" s="144">
        <v>579.16</v>
      </c>
      <c r="L33" s="144">
        <v>112.19</v>
      </c>
      <c r="M33" s="145">
        <v>227.89</v>
      </c>
      <c r="N33" s="219">
        <v>44.14</v>
      </c>
      <c r="O33" s="186">
        <v>17113.29</v>
      </c>
      <c r="P33" s="220">
        <v>1597.56</v>
      </c>
      <c r="Q33" s="220"/>
      <c r="R33" s="220"/>
      <c r="S33" s="144">
        <f t="shared" si="24"/>
        <v>19388.88</v>
      </c>
      <c r="T33" s="221">
        <f t="shared" si="25"/>
        <v>2045.69</v>
      </c>
      <c r="U33" s="158">
        <v>359.18</v>
      </c>
      <c r="V33" s="158">
        <v>216.88</v>
      </c>
      <c r="W33" s="158">
        <v>1053.54</v>
      </c>
      <c r="X33" s="158">
        <v>730.29</v>
      </c>
      <c r="Y33" s="169">
        <v>287.32</v>
      </c>
      <c r="Z33" s="186">
        <v>21286.5</v>
      </c>
      <c r="AA33" s="220">
        <v>0</v>
      </c>
      <c r="AB33" s="220">
        <f t="shared" si="26"/>
        <v>23933.71</v>
      </c>
      <c r="AC33" s="224">
        <f t="shared" si="27"/>
        <v>32214.52</v>
      </c>
      <c r="AD33" s="225">
        <f t="shared" si="28"/>
        <v>22884.06</v>
      </c>
      <c r="AE33" s="225">
        <f t="shared" si="29"/>
        <v>0</v>
      </c>
      <c r="AF33" s="211">
        <f>0.6*B33</f>
        <v>225.83999999999997</v>
      </c>
      <c r="AG33" s="211">
        <f>B33*0.2</f>
        <v>75.28</v>
      </c>
      <c r="AH33" s="211">
        <f>1*B33</f>
        <v>376.4</v>
      </c>
      <c r="AI33" s="211">
        <v>0</v>
      </c>
      <c r="AJ33" s="211">
        <f>0.98*B33</f>
        <v>368.87199999999996</v>
      </c>
      <c r="AK33" s="211">
        <v>0</v>
      </c>
      <c r="AL33" s="211">
        <f>2.25*B33</f>
        <v>846.9</v>
      </c>
      <c r="AM33" s="211">
        <v>0</v>
      </c>
      <c r="AN33" s="211">
        <v>982.8</v>
      </c>
      <c r="AO33" s="211"/>
      <c r="AP33" s="226"/>
      <c r="AQ33" s="226"/>
      <c r="AR33" s="227">
        <v>390</v>
      </c>
      <c r="AS33" s="227">
        <f>500</f>
        <v>500</v>
      </c>
      <c r="AT33" s="227">
        <f>AS33*0</f>
        <v>0</v>
      </c>
      <c r="AU33" s="228"/>
      <c r="AV33" s="229">
        <v>14850</v>
      </c>
      <c r="AW33" s="211">
        <f t="shared" si="35"/>
        <v>20790</v>
      </c>
      <c r="AX33" s="92"/>
      <c r="AY33" s="222"/>
      <c r="AZ33" s="222">
        <f>AY33*0.18</f>
        <v>0</v>
      </c>
      <c r="BA33" s="94">
        <f t="shared" si="36"/>
        <v>24556.092000000004</v>
      </c>
      <c r="BB33" s="230"/>
      <c r="BC33" s="18">
        <f t="shared" si="37"/>
        <v>7658.427999999996</v>
      </c>
      <c r="BD33" s="20">
        <f t="shared" si="38"/>
        <v>4544.829999999998</v>
      </c>
    </row>
    <row r="34" spans="1:56" ht="12.75">
      <c r="A34" s="12" t="s">
        <v>49</v>
      </c>
      <c r="B34" s="206">
        <v>376.4</v>
      </c>
      <c r="C34" s="96">
        <f>B34*8.65</f>
        <v>3255.86</v>
      </c>
      <c r="D34" s="95">
        <f>C34-E34-F34-G34-H34-I34-J34-K34-L34-M34-N34+4269.41+928.2</f>
        <v>5729.76</v>
      </c>
      <c r="E34" s="144">
        <v>284.85</v>
      </c>
      <c r="F34" s="144">
        <v>55.18</v>
      </c>
      <c r="G34" s="144">
        <v>348.14</v>
      </c>
      <c r="H34" s="144">
        <v>74.79</v>
      </c>
      <c r="I34" s="144">
        <v>835.54</v>
      </c>
      <c r="J34" s="144">
        <v>161.83</v>
      </c>
      <c r="K34" s="144">
        <v>579.16</v>
      </c>
      <c r="L34" s="144">
        <v>112.19</v>
      </c>
      <c r="M34" s="145">
        <v>227.89</v>
      </c>
      <c r="N34" s="219">
        <v>44.14</v>
      </c>
      <c r="O34" s="186">
        <v>7639.18</v>
      </c>
      <c r="P34" s="220">
        <v>713.14</v>
      </c>
      <c r="Q34" s="220"/>
      <c r="R34" s="220"/>
      <c r="S34" s="144">
        <f t="shared" si="24"/>
        <v>9914.76</v>
      </c>
      <c r="T34" s="221">
        <f t="shared" si="25"/>
        <v>1161.27</v>
      </c>
      <c r="U34" s="100">
        <v>179.01</v>
      </c>
      <c r="V34" s="100">
        <v>178.27</v>
      </c>
      <c r="W34" s="100">
        <v>525.08</v>
      </c>
      <c r="X34" s="100">
        <v>363.94</v>
      </c>
      <c r="Y34" s="101">
        <v>143.21</v>
      </c>
      <c r="Z34" s="186">
        <v>9309.86</v>
      </c>
      <c r="AA34" s="101">
        <v>0</v>
      </c>
      <c r="AB34" s="220">
        <f>SUM(U34:AA34)</f>
        <v>10699.37</v>
      </c>
      <c r="AC34" s="224">
        <f t="shared" si="27"/>
        <v>17590.4</v>
      </c>
      <c r="AD34" s="225">
        <f t="shared" si="28"/>
        <v>10023</v>
      </c>
      <c r="AE34" s="225">
        <f t="shared" si="29"/>
        <v>0</v>
      </c>
      <c r="AF34" s="211">
        <f>0.6*B34</f>
        <v>225.83999999999997</v>
      </c>
      <c r="AG34" s="211">
        <f>B34*0.2</f>
        <v>75.28</v>
      </c>
      <c r="AH34" s="211">
        <f>1*B34</f>
        <v>376.4</v>
      </c>
      <c r="AI34" s="211">
        <v>0</v>
      </c>
      <c r="AJ34" s="211">
        <f>0.98*B34</f>
        <v>368.87199999999996</v>
      </c>
      <c r="AK34" s="211">
        <v>0</v>
      </c>
      <c r="AL34" s="211">
        <f>2.25*B34</f>
        <v>846.9</v>
      </c>
      <c r="AM34" s="211">
        <v>0</v>
      </c>
      <c r="AN34" s="211"/>
      <c r="AO34" s="211"/>
      <c r="AP34" s="226"/>
      <c r="AQ34" s="226"/>
      <c r="AR34" s="227"/>
      <c r="AS34" s="227"/>
      <c r="AT34" s="227">
        <f>385*0</f>
        <v>0</v>
      </c>
      <c r="AU34" s="228"/>
      <c r="AV34" s="229">
        <v>6630</v>
      </c>
      <c r="AW34" s="211">
        <f t="shared" si="35"/>
        <v>9282</v>
      </c>
      <c r="AX34" s="92"/>
      <c r="AY34" s="222"/>
      <c r="AZ34" s="222">
        <f>AY34*0.18</f>
        <v>0</v>
      </c>
      <c r="BA34" s="94">
        <f t="shared" si="36"/>
        <v>11175.292000000001</v>
      </c>
      <c r="BB34" s="230"/>
      <c r="BC34" s="18">
        <f t="shared" si="37"/>
        <v>6415.108</v>
      </c>
      <c r="BD34" s="20">
        <f t="shared" si="38"/>
        <v>784.6100000000006</v>
      </c>
    </row>
    <row r="35" spans="1:56" ht="12.75">
      <c r="A35" s="12" t="s">
        <v>50</v>
      </c>
      <c r="B35" s="65">
        <v>376.4</v>
      </c>
      <c r="C35" s="96">
        <f aca="true" t="shared" si="39" ref="C35:C41">B35*8.65</f>
        <v>3255.86</v>
      </c>
      <c r="D35" s="80">
        <f>C35-E35-F35-G35-H35-I35-J35-K35-L35-M35-N35</f>
        <v>532.1500000000008</v>
      </c>
      <c r="E35" s="66">
        <v>284.85</v>
      </c>
      <c r="F35" s="66">
        <v>55.18</v>
      </c>
      <c r="G35" s="66">
        <v>348.14</v>
      </c>
      <c r="H35" s="66">
        <v>74.79</v>
      </c>
      <c r="I35" s="66">
        <v>835.54</v>
      </c>
      <c r="J35" s="66">
        <v>161.83</v>
      </c>
      <c r="K35" s="66">
        <v>579.16</v>
      </c>
      <c r="L35" s="66">
        <v>112.19</v>
      </c>
      <c r="M35" s="64">
        <v>227.89</v>
      </c>
      <c r="N35" s="137">
        <v>44.14</v>
      </c>
      <c r="O35" s="186">
        <v>0</v>
      </c>
      <c r="P35" s="72">
        <v>0</v>
      </c>
      <c r="Q35" s="72">
        <v>0</v>
      </c>
      <c r="R35" s="72">
        <v>0</v>
      </c>
      <c r="S35" s="66">
        <f t="shared" si="24"/>
        <v>2275.58</v>
      </c>
      <c r="T35" s="81">
        <f t="shared" si="25"/>
        <v>448.13</v>
      </c>
      <c r="U35" s="66">
        <v>418.91</v>
      </c>
      <c r="V35" s="66">
        <v>555.95</v>
      </c>
      <c r="W35" s="66">
        <v>1228.57</v>
      </c>
      <c r="X35" s="66">
        <v>851.55</v>
      </c>
      <c r="Y35" s="72">
        <v>335.12</v>
      </c>
      <c r="Z35" s="186">
        <v>14010.08</v>
      </c>
      <c r="AA35" s="72">
        <v>0</v>
      </c>
      <c r="AB35" s="72">
        <f t="shared" si="26"/>
        <v>17400.18</v>
      </c>
      <c r="AC35" s="84">
        <f t="shared" si="27"/>
        <v>18380.460000000003</v>
      </c>
      <c r="AD35" s="85">
        <f t="shared" si="28"/>
        <v>14010.08</v>
      </c>
      <c r="AE35" s="85">
        <f t="shared" si="29"/>
        <v>0</v>
      </c>
      <c r="AF35" s="30">
        <f t="shared" si="30"/>
        <v>225.83999999999997</v>
      </c>
      <c r="AG35" s="30">
        <f t="shared" si="31"/>
        <v>75.28</v>
      </c>
      <c r="AH35" s="30">
        <f t="shared" si="32"/>
        <v>376.4</v>
      </c>
      <c r="AI35" s="30">
        <v>0</v>
      </c>
      <c r="AJ35" s="30">
        <f t="shared" si="33"/>
        <v>368.87199999999996</v>
      </c>
      <c r="AK35" s="30">
        <v>0</v>
      </c>
      <c r="AL35" s="30">
        <f t="shared" si="34"/>
        <v>846.9</v>
      </c>
      <c r="AM35" s="94">
        <v>0</v>
      </c>
      <c r="AN35" s="30"/>
      <c r="AO35" s="30"/>
      <c r="AQ35" s="90"/>
      <c r="AR35" s="70"/>
      <c r="AS35" s="70"/>
      <c r="AT35" s="70">
        <f>AS35*0</f>
        <v>0</v>
      </c>
      <c r="AU35" s="91"/>
      <c r="AV35" s="177">
        <v>0</v>
      </c>
      <c r="AW35" s="30">
        <f t="shared" si="35"/>
        <v>0</v>
      </c>
      <c r="AX35" s="92"/>
      <c r="AY35" s="102"/>
      <c r="AZ35" s="30"/>
      <c r="BA35" s="94">
        <f t="shared" si="36"/>
        <v>1893.292</v>
      </c>
      <c r="BB35" s="107"/>
      <c r="BC35" s="18">
        <f t="shared" si="37"/>
        <v>16487.168</v>
      </c>
      <c r="BD35" s="20">
        <f t="shared" si="38"/>
        <v>15124.6</v>
      </c>
    </row>
    <row r="36" spans="1:56" ht="12.75">
      <c r="A36" s="12" t="s">
        <v>51</v>
      </c>
      <c r="B36" s="65">
        <v>376.4</v>
      </c>
      <c r="C36" s="96">
        <f t="shared" si="39"/>
        <v>3255.86</v>
      </c>
      <c r="D36" s="80">
        <f>C36-E36-F36-G36-H36-I36-J36-K36-L36-M36-N36</f>
        <v>532.1500000000002</v>
      </c>
      <c r="E36" s="71">
        <v>340.03</v>
      </c>
      <c r="F36" s="66">
        <v>0</v>
      </c>
      <c r="G36" s="66">
        <v>422.93</v>
      </c>
      <c r="H36" s="66">
        <v>0</v>
      </c>
      <c r="I36" s="66">
        <v>997.37</v>
      </c>
      <c r="J36" s="66">
        <v>0</v>
      </c>
      <c r="K36" s="66">
        <v>691.35</v>
      </c>
      <c r="L36" s="66">
        <v>0</v>
      </c>
      <c r="M36" s="64">
        <v>272.03</v>
      </c>
      <c r="N36" s="137">
        <v>0</v>
      </c>
      <c r="O36" s="186">
        <v>0</v>
      </c>
      <c r="P36" s="72">
        <v>0</v>
      </c>
      <c r="Q36" s="72"/>
      <c r="R36" s="72"/>
      <c r="S36" s="66">
        <f t="shared" si="24"/>
        <v>2723.71</v>
      </c>
      <c r="T36" s="81">
        <f t="shared" si="25"/>
        <v>0</v>
      </c>
      <c r="U36" s="71">
        <v>128.95</v>
      </c>
      <c r="V36" s="66">
        <v>174.77</v>
      </c>
      <c r="W36" s="66">
        <v>378.31</v>
      </c>
      <c r="X36" s="66">
        <v>262.24</v>
      </c>
      <c r="Y36" s="72">
        <v>103.17</v>
      </c>
      <c r="Z36" s="186">
        <v>653.9</v>
      </c>
      <c r="AA36" s="72">
        <v>0</v>
      </c>
      <c r="AB36" s="72">
        <f t="shared" si="26"/>
        <v>1701.3400000000001</v>
      </c>
      <c r="AC36" s="84">
        <f t="shared" si="27"/>
        <v>2233.4900000000002</v>
      </c>
      <c r="AD36" s="85">
        <f t="shared" si="28"/>
        <v>653.9</v>
      </c>
      <c r="AE36" s="85">
        <f t="shared" si="29"/>
        <v>0</v>
      </c>
      <c r="AF36" s="30">
        <f t="shared" si="30"/>
        <v>225.83999999999997</v>
      </c>
      <c r="AG36" s="30">
        <f t="shared" si="31"/>
        <v>75.28</v>
      </c>
      <c r="AH36" s="30">
        <f t="shared" si="32"/>
        <v>376.4</v>
      </c>
      <c r="AI36" s="30">
        <v>0</v>
      </c>
      <c r="AJ36" s="30">
        <f t="shared" si="33"/>
        <v>368.87199999999996</v>
      </c>
      <c r="AK36" s="30">
        <v>0</v>
      </c>
      <c r="AL36" s="30">
        <f t="shared" si="34"/>
        <v>846.9</v>
      </c>
      <c r="AM36" s="30">
        <v>0</v>
      </c>
      <c r="AN36" s="30"/>
      <c r="AO36" s="30"/>
      <c r="AP36" s="90"/>
      <c r="AQ36" s="90"/>
      <c r="AR36" s="70"/>
      <c r="AS36" s="70"/>
      <c r="AT36" s="70">
        <f>AS36*0</f>
        <v>0</v>
      </c>
      <c r="AU36" s="91"/>
      <c r="AV36" s="177">
        <v>0</v>
      </c>
      <c r="AW36" s="30">
        <f t="shared" si="35"/>
        <v>0</v>
      </c>
      <c r="AX36" s="92"/>
      <c r="AY36" s="94"/>
      <c r="AZ36" s="94">
        <f>AY36*0.18</f>
        <v>0</v>
      </c>
      <c r="BA36" s="94">
        <f t="shared" si="36"/>
        <v>1893.292</v>
      </c>
      <c r="BB36" s="107"/>
      <c r="BC36" s="18">
        <f t="shared" si="37"/>
        <v>340.1980000000003</v>
      </c>
      <c r="BD36" s="20">
        <f t="shared" si="38"/>
        <v>-1022.3699999999999</v>
      </c>
    </row>
    <row r="37" spans="1:56" ht="12.75">
      <c r="A37" s="12" t="s">
        <v>52</v>
      </c>
      <c r="B37" s="206">
        <v>376.4</v>
      </c>
      <c r="C37" s="96">
        <f t="shared" si="39"/>
        <v>3255.86</v>
      </c>
      <c r="D37" s="80">
        <f>C37-E37-F37-G37-H37-I37-J37-K37-L37-M37-N37</f>
        <v>532.1500000000002</v>
      </c>
      <c r="E37" s="223">
        <v>340.03</v>
      </c>
      <c r="F37" s="144">
        <v>0</v>
      </c>
      <c r="G37" s="144">
        <v>422.93</v>
      </c>
      <c r="H37" s="144">
        <v>0</v>
      </c>
      <c r="I37" s="144">
        <v>997.37</v>
      </c>
      <c r="J37" s="144">
        <v>0</v>
      </c>
      <c r="K37" s="144">
        <v>691.35</v>
      </c>
      <c r="L37" s="144">
        <v>0</v>
      </c>
      <c r="M37" s="145">
        <v>272.03</v>
      </c>
      <c r="N37" s="219">
        <v>0</v>
      </c>
      <c r="O37" s="186">
        <v>0</v>
      </c>
      <c r="P37" s="220">
        <v>0</v>
      </c>
      <c r="Q37" s="220"/>
      <c r="R37" s="220"/>
      <c r="S37" s="144">
        <f t="shared" si="24"/>
        <v>2723.71</v>
      </c>
      <c r="T37" s="221">
        <f t="shared" si="25"/>
        <v>0</v>
      </c>
      <c r="U37" s="100">
        <v>277.27</v>
      </c>
      <c r="V37" s="100">
        <v>375.8</v>
      </c>
      <c r="W37" s="100">
        <v>813.25</v>
      </c>
      <c r="X37" s="100">
        <v>563.71</v>
      </c>
      <c r="Y37" s="101">
        <v>221.83</v>
      </c>
      <c r="Z37" s="186">
        <v>3463.32</v>
      </c>
      <c r="AA37" s="101">
        <v>0</v>
      </c>
      <c r="AB37" s="220">
        <f>SUM(U37:AA37)</f>
        <v>5715.18</v>
      </c>
      <c r="AC37" s="224">
        <f t="shared" si="27"/>
        <v>6247.330000000001</v>
      </c>
      <c r="AD37" s="225">
        <f t="shared" si="28"/>
        <v>3463.32</v>
      </c>
      <c r="AE37" s="225">
        <f t="shared" si="29"/>
        <v>0</v>
      </c>
      <c r="AF37" s="211">
        <f>0.6*B37</f>
        <v>225.83999999999997</v>
      </c>
      <c r="AG37" s="211">
        <f>B37*0.2</f>
        <v>75.28</v>
      </c>
      <c r="AH37" s="211">
        <f>1*B37</f>
        <v>376.4</v>
      </c>
      <c r="AI37" s="211">
        <v>0</v>
      </c>
      <c r="AJ37" s="211">
        <f>0.98*B37</f>
        <v>368.87199999999996</v>
      </c>
      <c r="AK37" s="211">
        <v>0</v>
      </c>
      <c r="AL37" s="211">
        <f>2.25*B37</f>
        <v>846.9</v>
      </c>
      <c r="AM37" s="211">
        <v>0</v>
      </c>
      <c r="AN37" s="211"/>
      <c r="AO37" s="211"/>
      <c r="AP37" s="226"/>
      <c r="AQ37" s="226"/>
      <c r="AR37" s="227">
        <v>3860</v>
      </c>
      <c r="AS37" s="227">
        <f>47.8+84</f>
        <v>131.8</v>
      </c>
      <c r="AT37" s="227">
        <f>0*0.18</f>
        <v>0</v>
      </c>
      <c r="AU37" s="228"/>
      <c r="AV37" s="229">
        <v>0</v>
      </c>
      <c r="AW37" s="211">
        <f t="shared" si="35"/>
        <v>0</v>
      </c>
      <c r="AX37" s="92"/>
      <c r="AY37" s="222"/>
      <c r="AZ37" s="222">
        <f>AY37*0.18</f>
        <v>0</v>
      </c>
      <c r="BA37" s="94">
        <f t="shared" si="36"/>
        <v>5885.092</v>
      </c>
      <c r="BB37" s="230"/>
      <c r="BC37" s="18">
        <f t="shared" si="37"/>
        <v>362.2380000000012</v>
      </c>
      <c r="BD37" s="20">
        <f t="shared" si="38"/>
        <v>2991.4700000000003</v>
      </c>
    </row>
    <row r="38" spans="1:56" ht="12.75">
      <c r="A38" s="12" t="s">
        <v>53</v>
      </c>
      <c r="B38" s="206">
        <v>376.4</v>
      </c>
      <c r="C38" s="96">
        <f t="shared" si="39"/>
        <v>3255.86</v>
      </c>
      <c r="D38" s="80">
        <f>C38-E38-F38-G38-H38-I38-J38-K38-L38-M38-N38+277.2</f>
        <v>809.3500000000001</v>
      </c>
      <c r="E38" s="144">
        <v>340.03</v>
      </c>
      <c r="F38" s="144">
        <v>0</v>
      </c>
      <c r="G38" s="144">
        <v>422.93</v>
      </c>
      <c r="H38" s="144">
        <v>0</v>
      </c>
      <c r="I38" s="144">
        <v>997.37</v>
      </c>
      <c r="J38" s="144">
        <v>0</v>
      </c>
      <c r="K38" s="144">
        <v>691.35</v>
      </c>
      <c r="L38" s="144">
        <v>0</v>
      </c>
      <c r="M38" s="145">
        <v>272.03</v>
      </c>
      <c r="N38" s="219">
        <v>0</v>
      </c>
      <c r="O38" s="186">
        <v>2495.52</v>
      </c>
      <c r="P38" s="220">
        <v>0</v>
      </c>
      <c r="Q38" s="220"/>
      <c r="R38" s="220"/>
      <c r="S38" s="144">
        <f t="shared" si="24"/>
        <v>5219.23</v>
      </c>
      <c r="T38" s="221">
        <f t="shared" si="25"/>
        <v>0</v>
      </c>
      <c r="U38" s="144">
        <v>824.94</v>
      </c>
      <c r="V38" s="144">
        <v>1118.09</v>
      </c>
      <c r="W38" s="144">
        <v>2415.6</v>
      </c>
      <c r="X38" s="144">
        <v>1674.36</v>
      </c>
      <c r="Y38" s="220">
        <v>659.97</v>
      </c>
      <c r="Z38" s="186">
        <v>20959.77</v>
      </c>
      <c r="AA38" s="220">
        <v>0</v>
      </c>
      <c r="AB38" s="220">
        <f>SUM(U38:AA38)</f>
        <v>27652.73</v>
      </c>
      <c r="AC38" s="224">
        <f t="shared" si="27"/>
        <v>28462.079999999998</v>
      </c>
      <c r="AD38" s="225">
        <f t="shared" si="28"/>
        <v>20959.77</v>
      </c>
      <c r="AE38" s="225">
        <f t="shared" si="29"/>
        <v>0</v>
      </c>
      <c r="AF38" s="211">
        <f>0.6*B38</f>
        <v>225.83999999999997</v>
      </c>
      <c r="AG38" s="211">
        <f>B38*0.2</f>
        <v>75.28</v>
      </c>
      <c r="AH38" s="211">
        <f>1*B38</f>
        <v>376.4</v>
      </c>
      <c r="AI38" s="211">
        <v>0</v>
      </c>
      <c r="AJ38" s="211">
        <f>0.98*B38</f>
        <v>368.87199999999996</v>
      </c>
      <c r="AK38" s="211">
        <v>0</v>
      </c>
      <c r="AL38" s="211">
        <f>2.25*B38</f>
        <v>846.9</v>
      </c>
      <c r="AM38" s="211">
        <v>0</v>
      </c>
      <c r="AN38" s="211"/>
      <c r="AO38" s="211"/>
      <c r="AP38" s="226"/>
      <c r="AQ38" s="226"/>
      <c r="AR38" s="227">
        <v>8750</v>
      </c>
      <c r="AS38" s="227"/>
      <c r="AT38" s="231">
        <f>0*0.18</f>
        <v>0</v>
      </c>
      <c r="AU38" s="228"/>
      <c r="AV38" s="229">
        <v>1980</v>
      </c>
      <c r="AW38" s="211">
        <f t="shared" si="35"/>
        <v>2772</v>
      </c>
      <c r="AX38" s="92"/>
      <c r="AY38" s="222"/>
      <c r="AZ38" s="222">
        <f>AY38*0.18</f>
        <v>0</v>
      </c>
      <c r="BA38" s="94">
        <f t="shared" si="36"/>
        <v>13415.292</v>
      </c>
      <c r="BB38" s="230"/>
      <c r="BC38" s="18">
        <f t="shared" si="37"/>
        <v>15046.787999999999</v>
      </c>
      <c r="BD38" s="20">
        <f t="shared" si="38"/>
        <v>22433.5</v>
      </c>
    </row>
    <row r="39" spans="1:56" ht="12.75">
      <c r="A39" s="31" t="s">
        <v>41</v>
      </c>
      <c r="B39" s="206">
        <v>376.4</v>
      </c>
      <c r="C39" s="96">
        <f t="shared" si="39"/>
        <v>3255.86</v>
      </c>
      <c r="D39" s="80">
        <f>C39-E39-F39-G39-H39-I39-J39-K39-L39-M39-N39</f>
        <v>532.1500000000002</v>
      </c>
      <c r="E39" s="67">
        <v>340.03</v>
      </c>
      <c r="F39" s="67">
        <v>0</v>
      </c>
      <c r="G39" s="67">
        <v>422.93</v>
      </c>
      <c r="H39" s="67">
        <v>0</v>
      </c>
      <c r="I39" s="67">
        <v>997.37</v>
      </c>
      <c r="J39" s="67">
        <v>0</v>
      </c>
      <c r="K39" s="67">
        <v>691.35</v>
      </c>
      <c r="L39" s="67">
        <v>0</v>
      </c>
      <c r="M39" s="68">
        <v>272.03</v>
      </c>
      <c r="N39" s="173">
        <v>0</v>
      </c>
      <c r="O39" s="186">
        <v>0</v>
      </c>
      <c r="P39" s="87">
        <v>0</v>
      </c>
      <c r="Q39" s="87"/>
      <c r="R39" s="87"/>
      <c r="S39" s="144">
        <f t="shared" si="24"/>
        <v>2723.71</v>
      </c>
      <c r="T39" s="221">
        <f t="shared" si="25"/>
        <v>0</v>
      </c>
      <c r="U39" s="144">
        <v>353.52</v>
      </c>
      <c r="V39" s="144">
        <v>479.15</v>
      </c>
      <c r="W39" s="144">
        <v>1036.09</v>
      </c>
      <c r="X39" s="144">
        <v>718.18</v>
      </c>
      <c r="Y39" s="220">
        <v>282.82</v>
      </c>
      <c r="Z39" s="186">
        <v>5831.33</v>
      </c>
      <c r="AA39" s="220">
        <v>0</v>
      </c>
      <c r="AB39" s="220">
        <f>SUM(U39:AA39)</f>
        <v>8701.09</v>
      </c>
      <c r="AC39" s="224">
        <f t="shared" si="27"/>
        <v>9233.24</v>
      </c>
      <c r="AD39" s="225">
        <f t="shared" si="28"/>
        <v>5831.33</v>
      </c>
      <c r="AE39" s="225">
        <f t="shared" si="29"/>
        <v>0</v>
      </c>
      <c r="AF39" s="211">
        <f>0.6*B39</f>
        <v>225.83999999999997</v>
      </c>
      <c r="AG39" s="211">
        <f>B39*0.2</f>
        <v>75.28</v>
      </c>
      <c r="AH39" s="211">
        <f>1*B39</f>
        <v>376.4</v>
      </c>
      <c r="AI39" s="211">
        <v>0</v>
      </c>
      <c r="AJ39" s="211">
        <f>0.98*B39</f>
        <v>368.87199999999996</v>
      </c>
      <c r="AK39" s="211">
        <v>0</v>
      </c>
      <c r="AL39" s="211">
        <f>2.25*B39</f>
        <v>846.9</v>
      </c>
      <c r="AM39" s="211">
        <v>0</v>
      </c>
      <c r="AN39" s="211"/>
      <c r="AO39" s="211"/>
      <c r="AP39" s="226"/>
      <c r="AQ39" s="226"/>
      <c r="AR39" s="227"/>
      <c r="AS39" s="227">
        <v>42</v>
      </c>
      <c r="AT39" s="227">
        <f>0*0.18</f>
        <v>0</v>
      </c>
      <c r="AU39" s="228"/>
      <c r="AV39" s="229">
        <v>0</v>
      </c>
      <c r="AW39" s="211">
        <f t="shared" si="35"/>
        <v>0</v>
      </c>
      <c r="AX39" s="92"/>
      <c r="AY39" s="222"/>
      <c r="AZ39" s="222">
        <f>0</f>
        <v>0</v>
      </c>
      <c r="BA39" s="94">
        <f t="shared" si="36"/>
        <v>1935.292</v>
      </c>
      <c r="BB39" s="230"/>
      <c r="BC39" s="18">
        <f t="shared" si="37"/>
        <v>7297.948</v>
      </c>
      <c r="BD39" s="20">
        <f t="shared" si="38"/>
        <v>5977.38</v>
      </c>
    </row>
    <row r="40" spans="1:56" ht="12.75">
      <c r="A40" s="12" t="s">
        <v>42</v>
      </c>
      <c r="B40" s="142">
        <v>376.4</v>
      </c>
      <c r="C40" s="143">
        <f t="shared" si="39"/>
        <v>3255.86</v>
      </c>
      <c r="D40" s="174">
        <f>C40-E40-F40-G40-H40-I40-J40-K40-L40-M40-N40</f>
        <v>532.1500000000002</v>
      </c>
      <c r="E40" s="144">
        <v>340.03</v>
      </c>
      <c r="F40" s="144">
        <v>0</v>
      </c>
      <c r="G40" s="144">
        <v>422.93</v>
      </c>
      <c r="H40" s="144">
        <v>0</v>
      </c>
      <c r="I40" s="144">
        <v>997.37</v>
      </c>
      <c r="J40" s="144">
        <v>0</v>
      </c>
      <c r="K40" s="144">
        <v>691.35</v>
      </c>
      <c r="L40" s="144">
        <v>0</v>
      </c>
      <c r="M40" s="145">
        <v>272.03</v>
      </c>
      <c r="N40" s="219">
        <v>0</v>
      </c>
      <c r="O40" s="186">
        <v>0</v>
      </c>
      <c r="P40" s="220">
        <v>0</v>
      </c>
      <c r="Q40" s="220"/>
      <c r="R40" s="220"/>
      <c r="S40" s="144">
        <f t="shared" si="24"/>
        <v>2723.71</v>
      </c>
      <c r="T40" s="221">
        <f t="shared" si="25"/>
        <v>0</v>
      </c>
      <c r="U40" s="223">
        <v>184.77</v>
      </c>
      <c r="V40" s="144">
        <v>250.41</v>
      </c>
      <c r="W40" s="144">
        <v>541.98</v>
      </c>
      <c r="X40" s="144">
        <v>375.67</v>
      </c>
      <c r="Y40" s="220">
        <v>147.82</v>
      </c>
      <c r="Z40" s="186">
        <v>226.29</v>
      </c>
      <c r="AA40" s="169">
        <v>0</v>
      </c>
      <c r="AB40" s="169">
        <f>SUM(U40:AA40)</f>
        <v>1726.94</v>
      </c>
      <c r="AC40" s="175">
        <f t="shared" si="27"/>
        <v>2259.09</v>
      </c>
      <c r="AD40" s="146">
        <f t="shared" si="28"/>
        <v>226.29</v>
      </c>
      <c r="AE40" s="146">
        <f t="shared" si="29"/>
        <v>0</v>
      </c>
      <c r="AF40" s="102">
        <f>0.6*B40</f>
        <v>225.83999999999997</v>
      </c>
      <c r="AG40" s="102">
        <f>B40*0.2</f>
        <v>75.28</v>
      </c>
      <c r="AH40" s="102">
        <f>1*0</f>
        <v>0</v>
      </c>
      <c r="AI40" s="102">
        <v>0</v>
      </c>
      <c r="AJ40" s="102">
        <f>0.98*0</f>
        <v>0</v>
      </c>
      <c r="AK40" s="102">
        <v>0</v>
      </c>
      <c r="AL40" s="102">
        <f>2.25*0</f>
        <v>0</v>
      </c>
      <c r="AM40" s="102">
        <v>0</v>
      </c>
      <c r="AN40" s="102"/>
      <c r="AO40" s="102"/>
      <c r="AP40" s="148"/>
      <c r="AQ40" s="148"/>
      <c r="AR40" s="147"/>
      <c r="AS40" s="147"/>
      <c r="AT40" s="147">
        <f>AS40*0.18</f>
        <v>0</v>
      </c>
      <c r="AU40" s="182"/>
      <c r="AV40" s="183">
        <v>0</v>
      </c>
      <c r="AW40" s="102">
        <f t="shared" si="35"/>
        <v>0</v>
      </c>
      <c r="AX40" s="102"/>
      <c r="AY40" s="93"/>
      <c r="AZ40" s="222">
        <v>0</v>
      </c>
      <c r="BA40" s="94">
        <f t="shared" si="36"/>
        <v>301.12</v>
      </c>
      <c r="BB40" s="149"/>
      <c r="BC40" s="18">
        <f t="shared" si="37"/>
        <v>1957.9700000000003</v>
      </c>
      <c r="BD40" s="20">
        <f t="shared" si="38"/>
        <v>-996.77</v>
      </c>
    </row>
    <row r="41" spans="1:56" ht="12.75">
      <c r="A41" s="12" t="s">
        <v>43</v>
      </c>
      <c r="B41" s="218">
        <v>375.2</v>
      </c>
      <c r="C41" s="143">
        <f t="shared" si="39"/>
        <v>3245.48</v>
      </c>
      <c r="D41" s="174">
        <f>C41-E41-F41-G41-H41-I41-J41-K41-L41-M41-N41</f>
        <v>322.98000000000013</v>
      </c>
      <c r="E41" s="144">
        <v>-2.45</v>
      </c>
      <c r="F41" s="144">
        <v>0</v>
      </c>
      <c r="G41" s="144">
        <v>-3.3</v>
      </c>
      <c r="H41" s="144">
        <v>0</v>
      </c>
      <c r="I41" s="144">
        <v>2662.6</v>
      </c>
      <c r="J41" s="144">
        <v>0</v>
      </c>
      <c r="K41" s="144">
        <v>-4.97</v>
      </c>
      <c r="L41" s="144">
        <v>0</v>
      </c>
      <c r="M41" s="145">
        <v>270.62</v>
      </c>
      <c r="N41" s="219">
        <v>0</v>
      </c>
      <c r="O41" s="186">
        <v>0</v>
      </c>
      <c r="P41" s="220">
        <v>0</v>
      </c>
      <c r="Q41" s="220"/>
      <c r="R41" s="220"/>
      <c r="S41" s="144">
        <f t="shared" si="24"/>
        <v>2922.5</v>
      </c>
      <c r="T41" s="221">
        <f t="shared" si="25"/>
        <v>0</v>
      </c>
      <c r="U41" s="144">
        <v>405.96</v>
      </c>
      <c r="V41" s="144">
        <v>439.7</v>
      </c>
      <c r="W41" s="144">
        <v>1505.53</v>
      </c>
      <c r="X41" s="144">
        <v>825.38</v>
      </c>
      <c r="Y41" s="220">
        <v>356.87</v>
      </c>
      <c r="Z41" s="186">
        <v>502.37</v>
      </c>
      <c r="AA41" s="220">
        <v>0</v>
      </c>
      <c r="AB41" s="169">
        <f>SUM(U41:AA41)</f>
        <v>4035.81</v>
      </c>
      <c r="AC41" s="175">
        <f t="shared" si="27"/>
        <v>4358.79</v>
      </c>
      <c r="AD41" s="146">
        <f t="shared" si="28"/>
        <v>502.37</v>
      </c>
      <c r="AE41" s="146">
        <f t="shared" si="29"/>
        <v>0</v>
      </c>
      <c r="AF41" s="102">
        <f>0.6*B41</f>
        <v>225.11999999999998</v>
      </c>
      <c r="AG41" s="102">
        <f>B41*0.2</f>
        <v>75.04</v>
      </c>
      <c r="AH41" s="102">
        <f>1*0</f>
        <v>0</v>
      </c>
      <c r="AI41" s="102">
        <v>0</v>
      </c>
      <c r="AJ41" s="102">
        <f>0.98*0</f>
        <v>0</v>
      </c>
      <c r="AK41" s="102">
        <v>0</v>
      </c>
      <c r="AL41" s="102">
        <f>2.25*0</f>
        <v>0</v>
      </c>
      <c r="AM41" s="102">
        <v>0</v>
      </c>
      <c r="AN41" s="102"/>
      <c r="AO41" s="102"/>
      <c r="AP41" s="148"/>
      <c r="AQ41" s="148"/>
      <c r="AR41" s="147">
        <v>5079</v>
      </c>
      <c r="AS41" s="147"/>
      <c r="AT41" s="147">
        <f>AS41*0.18</f>
        <v>0</v>
      </c>
      <c r="AU41" s="182"/>
      <c r="AV41" s="183">
        <v>60</v>
      </c>
      <c r="AW41" s="102">
        <f t="shared" si="35"/>
        <v>84</v>
      </c>
      <c r="AX41" s="102"/>
      <c r="AY41" s="93"/>
      <c r="AZ41" s="222">
        <v>0</v>
      </c>
      <c r="BA41" s="94">
        <f t="shared" si="36"/>
        <v>5463.16</v>
      </c>
      <c r="BB41" s="149"/>
      <c r="BC41" s="18">
        <f t="shared" si="37"/>
        <v>-1104.37</v>
      </c>
      <c r="BD41" s="20">
        <f t="shared" si="38"/>
        <v>1113.31</v>
      </c>
    </row>
    <row r="42" spans="1:56" ht="12.75">
      <c r="A42" s="21" t="s">
        <v>5</v>
      </c>
      <c r="B42" s="22"/>
      <c r="C42" s="22">
        <f aca="true" t="shared" si="40" ref="C42:BB42">SUM(C30:C41)</f>
        <v>39059.94</v>
      </c>
      <c r="D42" s="22">
        <f t="shared" si="40"/>
        <v>35651.01000000002</v>
      </c>
      <c r="E42" s="22">
        <f t="shared" si="40"/>
        <v>3408.1799999999994</v>
      </c>
      <c r="F42" s="22">
        <f t="shared" si="40"/>
        <v>331.08</v>
      </c>
      <c r="G42" s="22">
        <f t="shared" si="40"/>
        <v>4202.019999999999</v>
      </c>
      <c r="H42" s="22">
        <f t="shared" si="40"/>
        <v>448.74000000000007</v>
      </c>
      <c r="I42" s="22">
        <f t="shared" si="40"/>
        <v>12666.7</v>
      </c>
      <c r="J42" s="22">
        <f t="shared" si="40"/>
        <v>970.9800000000001</v>
      </c>
      <c r="K42" s="22">
        <f t="shared" si="40"/>
        <v>6929.510000000001</v>
      </c>
      <c r="L42" s="22">
        <f t="shared" si="40"/>
        <v>673.1400000000001</v>
      </c>
      <c r="M42" s="22">
        <f t="shared" si="40"/>
        <v>2999.209999999999</v>
      </c>
      <c r="N42" s="22">
        <f t="shared" si="40"/>
        <v>264.84</v>
      </c>
      <c r="O42" s="22">
        <f t="shared" si="40"/>
        <v>93697.90999999999</v>
      </c>
      <c r="P42" s="22">
        <f t="shared" si="40"/>
        <v>9002.05</v>
      </c>
      <c r="Q42" s="22">
        <f t="shared" si="40"/>
        <v>0</v>
      </c>
      <c r="R42" s="22">
        <f t="shared" si="40"/>
        <v>0</v>
      </c>
      <c r="S42" s="22">
        <f t="shared" si="40"/>
        <v>123903.53000000003</v>
      </c>
      <c r="T42" s="22">
        <f t="shared" si="40"/>
        <v>11690.829999999998</v>
      </c>
      <c r="U42" s="22">
        <f t="shared" si="40"/>
        <v>3468.8500000000004</v>
      </c>
      <c r="V42" s="22">
        <f t="shared" si="40"/>
        <v>4244.83</v>
      </c>
      <c r="W42" s="22">
        <f t="shared" si="40"/>
        <v>10484.470000000001</v>
      </c>
      <c r="X42" s="22">
        <f t="shared" si="40"/>
        <v>7049.1</v>
      </c>
      <c r="Y42" s="22">
        <f t="shared" si="40"/>
        <v>2807.23</v>
      </c>
      <c r="Z42" s="22">
        <f t="shared" si="40"/>
        <v>122024.65</v>
      </c>
      <c r="AA42" s="22">
        <f t="shared" si="40"/>
        <v>0</v>
      </c>
      <c r="AB42" s="22">
        <f t="shared" si="40"/>
        <v>150079.12999999998</v>
      </c>
      <c r="AC42" s="22">
        <f t="shared" si="40"/>
        <v>197420.96999999997</v>
      </c>
      <c r="AD42" s="22">
        <f t="shared" si="40"/>
        <v>131026.7</v>
      </c>
      <c r="AE42" s="22">
        <f t="shared" si="40"/>
        <v>0</v>
      </c>
      <c r="AF42" s="22">
        <f>SUM(AF30:AF41)</f>
        <v>2709.3599999999997</v>
      </c>
      <c r="AG42" s="22">
        <f t="shared" si="40"/>
        <v>903.1199999999998</v>
      </c>
      <c r="AH42" s="22">
        <f t="shared" si="40"/>
        <v>3764.0000000000005</v>
      </c>
      <c r="AI42" s="22">
        <f t="shared" si="40"/>
        <v>0</v>
      </c>
      <c r="AJ42" s="22">
        <f t="shared" si="40"/>
        <v>3688.719999999999</v>
      </c>
      <c r="AK42" s="22">
        <f t="shared" si="40"/>
        <v>0</v>
      </c>
      <c r="AL42" s="22">
        <f t="shared" si="40"/>
        <v>8468.999999999998</v>
      </c>
      <c r="AM42" s="22">
        <f t="shared" si="40"/>
        <v>0</v>
      </c>
      <c r="AN42" s="22">
        <f t="shared" si="40"/>
        <v>982.8</v>
      </c>
      <c r="AO42" s="22">
        <f t="shared" si="40"/>
        <v>0</v>
      </c>
      <c r="AP42" s="22">
        <f>SUM(AP30:AP41)</f>
        <v>5599</v>
      </c>
      <c r="AQ42" s="22">
        <f>SUM(AQ30:AQ41)</f>
        <v>0</v>
      </c>
      <c r="AR42" s="22">
        <f>SUM(AR30:AR41)</f>
        <v>22994</v>
      </c>
      <c r="AS42" s="22">
        <f>SUM(AS30:AS41)</f>
        <v>673.8</v>
      </c>
      <c r="AT42" s="22">
        <f>SUM(AT30:AT41)</f>
        <v>0</v>
      </c>
      <c r="AU42" s="22">
        <f t="shared" si="40"/>
        <v>0</v>
      </c>
      <c r="AV42" s="22"/>
      <c r="AW42" s="22">
        <f>SUM(AW30:AW41)</f>
        <v>113652</v>
      </c>
      <c r="AX42" s="22">
        <f t="shared" si="40"/>
        <v>0</v>
      </c>
      <c r="AY42" s="22">
        <f t="shared" si="40"/>
        <v>0</v>
      </c>
      <c r="AZ42" s="22">
        <f t="shared" si="40"/>
        <v>0</v>
      </c>
      <c r="BA42" s="22">
        <f>SUM(BA30:BA41)</f>
        <v>163435.79999999996</v>
      </c>
      <c r="BB42" s="22">
        <f t="shared" si="40"/>
        <v>0</v>
      </c>
      <c r="BC42" s="22">
        <f>SUM(BC30:BC41)</f>
        <v>33985.16999999999</v>
      </c>
      <c r="BD42" s="22">
        <f>SUM(BD30:BD41)</f>
        <v>26175.600000000002</v>
      </c>
    </row>
    <row r="43" spans="1:56" ht="12.75">
      <c r="A43" s="21"/>
      <c r="B43" s="22"/>
      <c r="C43" s="22"/>
      <c r="D43" s="2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24"/>
      <c r="W43" s="24"/>
      <c r="X43" s="24"/>
      <c r="Y43" s="24"/>
      <c r="Z43" s="24"/>
      <c r="AA43" s="24"/>
      <c r="AB43" s="24"/>
      <c r="AC43" s="24"/>
      <c r="AD43" s="77"/>
      <c r="AE43" s="77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63"/>
      <c r="AS43" s="63"/>
      <c r="AT43" s="63"/>
      <c r="AU43" s="25"/>
      <c r="AV43" s="25"/>
      <c r="AW43" s="25"/>
      <c r="AX43" s="25"/>
      <c r="AY43" s="25"/>
      <c r="AZ43" s="25"/>
      <c r="BA43" s="25"/>
      <c r="BB43" s="25"/>
      <c r="BC43" s="30"/>
      <c r="BD43" s="74"/>
    </row>
    <row r="44" spans="1:56" ht="13.5" thickBot="1">
      <c r="A44" s="32" t="s">
        <v>54</v>
      </c>
      <c r="B44" s="33"/>
      <c r="C44" s="33">
        <f aca="true" t="shared" si="41" ref="C44:BB44">C42+C28</f>
        <v>87934.17</v>
      </c>
      <c r="D44" s="33">
        <f t="shared" si="41"/>
        <v>83212.24381670001</v>
      </c>
      <c r="E44" s="33">
        <f t="shared" si="41"/>
        <v>7491.83</v>
      </c>
      <c r="F44" s="33">
        <f t="shared" si="41"/>
        <v>1115.8</v>
      </c>
      <c r="G44" s="33">
        <f t="shared" si="41"/>
        <v>9184.189999999999</v>
      </c>
      <c r="H44" s="33">
        <f t="shared" si="41"/>
        <v>1510.4599999999998</v>
      </c>
      <c r="I44" s="33">
        <f t="shared" si="41"/>
        <v>23693.75</v>
      </c>
      <c r="J44" s="33">
        <f t="shared" si="41"/>
        <v>3091.3399999999997</v>
      </c>
      <c r="K44" s="33">
        <f t="shared" si="41"/>
        <v>14561.170000000002</v>
      </c>
      <c r="L44" s="33">
        <f t="shared" si="41"/>
        <v>2140.8200000000006</v>
      </c>
      <c r="M44" s="33">
        <f t="shared" si="41"/>
        <v>6266.1900000000005</v>
      </c>
      <c r="N44" s="33">
        <f t="shared" si="41"/>
        <v>892.5699999999999</v>
      </c>
      <c r="O44" s="33">
        <f t="shared" si="41"/>
        <v>191153.3</v>
      </c>
      <c r="P44" s="33">
        <f t="shared" si="41"/>
        <v>18560.92</v>
      </c>
      <c r="Q44" s="33">
        <f t="shared" si="41"/>
        <v>0</v>
      </c>
      <c r="R44" s="33">
        <f t="shared" si="41"/>
        <v>0</v>
      </c>
      <c r="S44" s="33">
        <f t="shared" si="41"/>
        <v>252350.43000000005</v>
      </c>
      <c r="T44" s="33">
        <f t="shared" si="41"/>
        <v>27311.909999999996</v>
      </c>
      <c r="U44" s="33">
        <f t="shared" si="41"/>
        <v>7025.920000000001</v>
      </c>
      <c r="V44" s="33">
        <f t="shared" si="41"/>
        <v>8669.66</v>
      </c>
      <c r="W44" s="33">
        <f t="shared" si="41"/>
        <v>19972.120000000003</v>
      </c>
      <c r="X44" s="33">
        <f t="shared" si="41"/>
        <v>13613.689999999999</v>
      </c>
      <c r="Y44" s="33">
        <f t="shared" si="41"/>
        <v>5652.950000000001</v>
      </c>
      <c r="Z44" s="33">
        <f t="shared" si="41"/>
        <v>197626.49</v>
      </c>
      <c r="AA44" s="33">
        <f t="shared" si="41"/>
        <v>0</v>
      </c>
      <c r="AB44" s="33">
        <f t="shared" si="41"/>
        <v>252560.82999999996</v>
      </c>
      <c r="AC44" s="33">
        <f t="shared" si="41"/>
        <v>363084.98381669994</v>
      </c>
      <c r="AD44" s="33">
        <f t="shared" si="41"/>
        <v>216187.40999999997</v>
      </c>
      <c r="AE44" s="33">
        <f t="shared" si="41"/>
        <v>0</v>
      </c>
      <c r="AF44" s="33">
        <f t="shared" si="41"/>
        <v>6009.143999999999</v>
      </c>
      <c r="AG44" s="33">
        <f t="shared" si="41"/>
        <v>2013.5788567999998</v>
      </c>
      <c r="AH44" s="33">
        <f t="shared" si="41"/>
        <v>8390.960919000001</v>
      </c>
      <c r="AI44" s="33">
        <f t="shared" si="41"/>
        <v>832.8529654199999</v>
      </c>
      <c r="AJ44" s="33">
        <f t="shared" si="41"/>
        <v>8371.02277948</v>
      </c>
      <c r="AK44" s="33">
        <f t="shared" si="41"/>
        <v>842.8145003063999</v>
      </c>
      <c r="AL44" s="33">
        <f t="shared" si="41"/>
        <v>18721.33696414678</v>
      </c>
      <c r="AM44" s="33">
        <f t="shared" si="41"/>
        <v>1845.4206535464202</v>
      </c>
      <c r="AN44" s="33">
        <f t="shared" si="41"/>
        <v>982.8</v>
      </c>
      <c r="AO44" s="33">
        <f t="shared" si="41"/>
        <v>0</v>
      </c>
      <c r="AP44" s="33">
        <f t="shared" si="41"/>
        <v>10919</v>
      </c>
      <c r="AQ44" s="33">
        <f t="shared" si="41"/>
        <v>957.5999999999999</v>
      </c>
      <c r="AR44" s="33">
        <f t="shared" si="41"/>
        <v>46575.08</v>
      </c>
      <c r="AS44" s="33">
        <f t="shared" si="41"/>
        <v>4041.6000000000004</v>
      </c>
      <c r="AT44" s="33">
        <f t="shared" si="41"/>
        <v>4850.7984</v>
      </c>
      <c r="AU44" s="33">
        <f t="shared" si="41"/>
        <v>0</v>
      </c>
      <c r="AV44" s="33"/>
      <c r="AW44" s="33">
        <f t="shared" si="41"/>
        <v>293416.03</v>
      </c>
      <c r="AX44" s="33">
        <f t="shared" si="41"/>
        <v>0</v>
      </c>
      <c r="AY44" s="33">
        <f t="shared" si="41"/>
        <v>0</v>
      </c>
      <c r="AZ44" s="33">
        <f t="shared" si="41"/>
        <v>0</v>
      </c>
      <c r="BA44" s="33">
        <f t="shared" si="41"/>
        <v>408770.0400386995</v>
      </c>
      <c r="BB44" s="33">
        <f t="shared" si="41"/>
        <v>0</v>
      </c>
      <c r="BC44" s="33">
        <f>BC42+BC28</f>
        <v>-45685.05622199963</v>
      </c>
      <c r="BD44" s="33">
        <f>BD42+BD28</f>
        <v>210.40000000000146</v>
      </c>
    </row>
    <row r="45" spans="1:5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76"/>
      <c r="T45" s="2"/>
      <c r="U45" s="2"/>
      <c r="V45" s="2"/>
      <c r="W45" s="2"/>
      <c r="X45" s="2"/>
      <c r="Y45" s="2"/>
      <c r="Z45" s="2"/>
      <c r="AA45" s="2"/>
      <c r="AB45" s="176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X45" s="2"/>
      <c r="AY45" s="2"/>
      <c r="AZ45" s="2"/>
      <c r="BA45" s="2"/>
    </row>
    <row r="46" spans="1:5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X46" s="2"/>
      <c r="AY46" s="2"/>
      <c r="AZ46" s="2"/>
      <c r="BA46" s="2"/>
    </row>
    <row r="47" spans="1:5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176">
        <f>11379.72+S44-AB44+'2012 полн'!U44-'2012 полн'!AF47</f>
        <v>13199.240000000063</v>
      </c>
      <c r="AA47" s="2"/>
      <c r="AB47" s="2"/>
      <c r="AC47" s="176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X47" s="2"/>
      <c r="AY47" s="2"/>
      <c r="AZ47" s="2"/>
      <c r="BA47" s="2"/>
    </row>
    <row r="48" spans="1:5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176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X48" s="2"/>
      <c r="AY48" s="2"/>
      <c r="AZ48" s="2"/>
      <c r="BA48" s="2"/>
    </row>
  </sheetData>
  <sheetProtection/>
  <mergeCells count="66">
    <mergeCell ref="G5:G6"/>
    <mergeCell ref="F5:F6"/>
    <mergeCell ref="E5:E6"/>
    <mergeCell ref="AX5:AX6"/>
    <mergeCell ref="AY5:AY6"/>
    <mergeCell ref="AZ5:AZ6"/>
    <mergeCell ref="AQ5:AQ6"/>
    <mergeCell ref="AR5:AR6"/>
    <mergeCell ref="H5:H6"/>
    <mergeCell ref="K5:K6"/>
    <mergeCell ref="J5:J6"/>
    <mergeCell ref="I5:I6"/>
    <mergeCell ref="AU5:AW5"/>
    <mergeCell ref="AA5:AA6"/>
    <mergeCell ref="AB5:AB6"/>
    <mergeCell ref="AF5:AF6"/>
    <mergeCell ref="AT5:AT6"/>
    <mergeCell ref="AM5:AM6"/>
    <mergeCell ref="AN5:AN6"/>
    <mergeCell ref="AO5:AO6"/>
    <mergeCell ref="AP5:AP6"/>
    <mergeCell ref="AS5:AS6"/>
    <mergeCell ref="Q5:Q6"/>
    <mergeCell ref="R5:R6"/>
    <mergeCell ref="S5:S6"/>
    <mergeCell ref="Z5:Z6"/>
    <mergeCell ref="M4:N4"/>
    <mergeCell ref="O4:P4"/>
    <mergeCell ref="Q4:R4"/>
    <mergeCell ref="AE3:AE6"/>
    <mergeCell ref="S3:T4"/>
    <mergeCell ref="U3:AB4"/>
    <mergeCell ref="AC3:AC6"/>
    <mergeCell ref="AD3:AD6"/>
    <mergeCell ref="T5:T6"/>
    <mergeCell ref="Y5:Y6"/>
    <mergeCell ref="AF3:BA4"/>
    <mergeCell ref="BB3:BB6"/>
    <mergeCell ref="BC3:BC6"/>
    <mergeCell ref="AG5:AG6"/>
    <mergeCell ref="AH5:AH6"/>
    <mergeCell ref="AI5:AI6"/>
    <mergeCell ref="AJ5:AJ6"/>
    <mergeCell ref="AK5:AK6"/>
    <mergeCell ref="AL5:AL6"/>
    <mergeCell ref="BA5:BA6"/>
    <mergeCell ref="K4:L4"/>
    <mergeCell ref="V5:V6"/>
    <mergeCell ref="W5:W6"/>
    <mergeCell ref="X5:X6"/>
    <mergeCell ref="U5:U6"/>
    <mergeCell ref="L5:L6"/>
    <mergeCell ref="M5:M6"/>
    <mergeCell ref="N5:N6"/>
    <mergeCell ref="O5:O6"/>
    <mergeCell ref="P5:P6"/>
    <mergeCell ref="BD3:BD6"/>
    <mergeCell ref="A1:N1"/>
    <mergeCell ref="A3:A6"/>
    <mergeCell ref="B3:B6"/>
    <mergeCell ref="C3:C6"/>
    <mergeCell ref="D3:D6"/>
    <mergeCell ref="E3:R3"/>
    <mergeCell ref="E4:F4"/>
    <mergeCell ref="G4:H4"/>
    <mergeCell ref="I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28">
      <selection activeCell="L44" sqref="L44"/>
    </sheetView>
  </sheetViews>
  <sheetFormatPr defaultColWidth="9.00390625" defaultRowHeight="12.75"/>
  <cols>
    <col min="1" max="1" width="10.125" style="273" bestFit="1" customWidth="1"/>
    <col min="2" max="2" width="9.00390625" style="273" customWidth="1"/>
    <col min="3" max="3" width="10.00390625" style="273" customWidth="1"/>
    <col min="4" max="4" width="8.875" style="273" customWidth="1"/>
    <col min="5" max="5" width="10.125" style="273" bestFit="1" customWidth="1"/>
    <col min="6" max="6" width="9.875" style="273" customWidth="1"/>
    <col min="7" max="7" width="10.875" style="273" customWidth="1"/>
    <col min="8" max="8" width="10.125" style="273" customWidth="1"/>
    <col min="9" max="9" width="9.25390625" style="273" customWidth="1"/>
    <col min="10" max="10" width="9.125" style="273" customWidth="1"/>
    <col min="11" max="11" width="10.375" style="273" customWidth="1"/>
    <col min="12" max="12" width="10.125" style="273" customWidth="1"/>
    <col min="13" max="13" width="9.875" style="273" customWidth="1"/>
    <col min="14" max="14" width="10.375" style="273" customWidth="1"/>
    <col min="15" max="15" width="10.75390625" style="273" customWidth="1"/>
    <col min="16" max="16" width="13.75390625" style="273" customWidth="1"/>
    <col min="17" max="16384" width="9.125" style="273" customWidth="1"/>
  </cols>
  <sheetData>
    <row r="1" ht="18.75">
      <c r="E1" s="254" t="s">
        <v>55</v>
      </c>
    </row>
    <row r="2" ht="18.75">
      <c r="E2" s="254" t="s">
        <v>56</v>
      </c>
    </row>
    <row r="4" ht="11.25" customHeight="1"/>
    <row r="5" spans="1:15" ht="12.75">
      <c r="A5" s="390" t="s">
        <v>122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</row>
    <row r="6" spans="1:15" ht="12.75">
      <c r="A6" s="374" t="s">
        <v>121</v>
      </c>
      <c r="B6" s="374"/>
      <c r="C6" s="374"/>
      <c r="D6" s="374"/>
      <c r="E6" s="374"/>
      <c r="F6" s="374"/>
      <c r="G6" s="374"/>
      <c r="H6" s="78"/>
      <c r="I6" s="78"/>
      <c r="J6" s="78"/>
      <c r="K6" s="78"/>
      <c r="L6" s="78"/>
      <c r="M6" s="78"/>
      <c r="N6" s="78"/>
      <c r="O6" s="78"/>
    </row>
    <row r="7" spans="1:5" ht="13.5" thickBot="1">
      <c r="A7" s="305" t="s">
        <v>57</v>
      </c>
      <c r="D7" s="306"/>
      <c r="E7" s="305">
        <v>8.65</v>
      </c>
    </row>
    <row r="8" spans="1:16" ht="12.75" customHeight="1">
      <c r="A8" s="329" t="s">
        <v>58</v>
      </c>
      <c r="B8" s="392" t="s">
        <v>1</v>
      </c>
      <c r="C8" s="395" t="s">
        <v>59</v>
      </c>
      <c r="D8" s="398" t="s">
        <v>3</v>
      </c>
      <c r="E8" s="401" t="s">
        <v>60</v>
      </c>
      <c r="F8" s="402"/>
      <c r="G8" s="375" t="s">
        <v>120</v>
      </c>
      <c r="H8" s="375"/>
      <c r="I8" s="370" t="s">
        <v>10</v>
      </c>
      <c r="J8" s="341"/>
      <c r="K8" s="341"/>
      <c r="L8" s="341"/>
      <c r="M8" s="341"/>
      <c r="N8" s="371"/>
      <c r="O8" s="377" t="s">
        <v>61</v>
      </c>
      <c r="P8" s="377" t="s">
        <v>12</v>
      </c>
    </row>
    <row r="9" spans="1:16" ht="12.75">
      <c r="A9" s="330"/>
      <c r="B9" s="393"/>
      <c r="C9" s="396"/>
      <c r="D9" s="399"/>
      <c r="E9" s="403"/>
      <c r="F9" s="404"/>
      <c r="G9" s="376"/>
      <c r="H9" s="376"/>
      <c r="I9" s="372"/>
      <c r="J9" s="342"/>
      <c r="K9" s="342"/>
      <c r="L9" s="342"/>
      <c r="M9" s="342"/>
      <c r="N9" s="373"/>
      <c r="O9" s="378"/>
      <c r="P9" s="378"/>
    </row>
    <row r="10" spans="1:16" ht="26.25" customHeight="1">
      <c r="A10" s="330"/>
      <c r="B10" s="393"/>
      <c r="C10" s="396"/>
      <c r="D10" s="399"/>
      <c r="E10" s="380" t="s">
        <v>62</v>
      </c>
      <c r="F10" s="381"/>
      <c r="G10" s="304" t="s">
        <v>63</v>
      </c>
      <c r="H10" s="382" t="s">
        <v>7</v>
      </c>
      <c r="I10" s="384" t="s">
        <v>64</v>
      </c>
      <c r="J10" s="386" t="s">
        <v>32</v>
      </c>
      <c r="K10" s="386" t="s">
        <v>65</v>
      </c>
      <c r="L10" s="386" t="s">
        <v>37</v>
      </c>
      <c r="M10" s="386" t="s">
        <v>66</v>
      </c>
      <c r="N10" s="388" t="s">
        <v>39</v>
      </c>
      <c r="O10" s="378"/>
      <c r="P10" s="378"/>
    </row>
    <row r="11" spans="1:16" ht="66.75" customHeight="1" thickBot="1">
      <c r="A11" s="391"/>
      <c r="B11" s="394"/>
      <c r="C11" s="397"/>
      <c r="D11" s="400"/>
      <c r="E11" s="34" t="s">
        <v>67</v>
      </c>
      <c r="F11" s="35" t="s">
        <v>21</v>
      </c>
      <c r="G11" s="303" t="s">
        <v>119</v>
      </c>
      <c r="H11" s="383"/>
      <c r="I11" s="385"/>
      <c r="J11" s="387"/>
      <c r="K11" s="387"/>
      <c r="L11" s="387"/>
      <c r="M11" s="387"/>
      <c r="N11" s="389"/>
      <c r="O11" s="379"/>
      <c r="P11" s="379"/>
    </row>
    <row r="12" spans="1:16" ht="11.25" customHeight="1" thickBot="1">
      <c r="A12" s="36">
        <v>1</v>
      </c>
      <c r="B12" s="37">
        <v>2</v>
      </c>
      <c r="C12" s="36">
        <v>3</v>
      </c>
      <c r="D12" s="37">
        <v>4</v>
      </c>
      <c r="E12" s="36">
        <v>5</v>
      </c>
      <c r="F12" s="37">
        <v>6</v>
      </c>
      <c r="G12" s="36">
        <v>7</v>
      </c>
      <c r="H12" s="37">
        <v>8</v>
      </c>
      <c r="I12" s="36">
        <v>9</v>
      </c>
      <c r="J12" s="37">
        <v>10</v>
      </c>
      <c r="K12" s="36">
        <v>11</v>
      </c>
      <c r="L12" s="37">
        <v>12</v>
      </c>
      <c r="M12" s="36">
        <v>13</v>
      </c>
      <c r="N12" s="37">
        <v>14</v>
      </c>
      <c r="O12" s="36">
        <v>15</v>
      </c>
      <c r="P12" s="302">
        <v>16</v>
      </c>
    </row>
    <row r="13" spans="1:16" ht="12.75">
      <c r="A13" s="8" t="s">
        <v>40</v>
      </c>
      <c r="B13" s="9"/>
      <c r="C13" s="253"/>
      <c r="D13" s="8"/>
      <c r="E13" s="9"/>
      <c r="F13" s="300"/>
      <c r="G13" s="301"/>
      <c r="H13" s="253"/>
      <c r="I13" s="8"/>
      <c r="J13" s="9"/>
      <c r="K13" s="9"/>
      <c r="L13" s="9"/>
      <c r="M13" s="9"/>
      <c r="N13" s="300"/>
      <c r="O13" s="299"/>
      <c r="P13" s="298"/>
    </row>
    <row r="14" spans="1:16" ht="12.75">
      <c r="A14" s="283" t="s">
        <v>41</v>
      </c>
      <c r="B14" s="281">
        <f>'2008-2010'!B9</f>
        <v>377.8</v>
      </c>
      <c r="C14" s="38">
        <f>'2008-2010'!C9</f>
        <v>3267.9700000000003</v>
      </c>
      <c r="D14" s="39">
        <f>'2008-2010'!D9</f>
        <v>787.1886136</v>
      </c>
      <c r="E14" s="278">
        <f>'2008-2010'!S9</f>
        <v>1488.26</v>
      </c>
      <c r="F14" s="278">
        <f>'2008-2010'!T9</f>
        <v>289.96000000000004</v>
      </c>
      <c r="G14" s="280">
        <f>'2008-2010'!AB9</f>
        <v>0</v>
      </c>
      <c r="H14" s="280">
        <f>'2008-2010'!AC9</f>
        <v>1077.1486136</v>
      </c>
      <c r="I14" s="279">
        <f>'2008-2010'!AF9</f>
        <v>226.68</v>
      </c>
      <c r="J14" s="279">
        <f>'2008-2010'!AG9</f>
        <v>79.96212560000001</v>
      </c>
      <c r="K14" s="278">
        <f>'2008-2010'!AH9+'2008-2010'!AI9+'2008-2010'!AJ9+'2008-2010'!AK9+'2008-2010'!AL9+'2008-2010'!AM9+'2008-2010'!AO9</f>
        <v>1633.1784347799999</v>
      </c>
      <c r="L14" s="277">
        <f>'2008-2010'!AP9+'2008-2010'!AQ9+'2008-2010'!AR9+'2008-2010'!AS9+'2008-2010'!AT9</f>
        <v>2622.4084000000003</v>
      </c>
      <c r="M14" s="277">
        <f>'[2]Лист1'!AX9</f>
        <v>0</v>
      </c>
      <c r="N14" s="276">
        <f>'2008-2010'!BA9</f>
        <v>4562.22896038</v>
      </c>
      <c r="O14" s="275">
        <f>'2008-2010'!BC9</f>
        <v>-3485.0803467799997</v>
      </c>
      <c r="P14" s="275">
        <f>'[2]Лист1'!BE9</f>
        <v>-1488.26</v>
      </c>
    </row>
    <row r="15" spans="1:16" ht="12.75">
      <c r="A15" s="283" t="s">
        <v>42</v>
      </c>
      <c r="B15" s="281">
        <f>'2008-2010'!B10</f>
        <v>377.8</v>
      </c>
      <c r="C15" s="38">
        <f>'2008-2010'!C10</f>
        <v>3267.9700000000003</v>
      </c>
      <c r="D15" s="39">
        <f>'2008-2010'!D10</f>
        <v>787.1886136</v>
      </c>
      <c r="E15" s="278">
        <f>'2008-2010'!S10</f>
        <v>1488.26</v>
      </c>
      <c r="F15" s="278">
        <f>'2008-2010'!T10</f>
        <v>289.96000000000004</v>
      </c>
      <c r="G15" s="280">
        <f>'2008-2010'!AB10</f>
        <v>953.79</v>
      </c>
      <c r="H15" s="280">
        <f>'2008-2010'!AC10</f>
        <v>2030.9386136</v>
      </c>
      <c r="I15" s="279">
        <f>'2008-2010'!AF10</f>
        <v>226.68</v>
      </c>
      <c r="J15" s="279">
        <f>'2008-2010'!AG10</f>
        <v>75.93780000000001</v>
      </c>
      <c r="K15" s="278">
        <f>'2008-2010'!AH10+'2008-2010'!AI10+'2008-2010'!AJ10+'2008-2010'!AK10+'2008-2010'!AL10+'2008-2010'!AM10+'2008-2010'!AO10</f>
        <v>1633.1784347799999</v>
      </c>
      <c r="L15" s="277">
        <f>'2008-2010'!AP10+'2008-2010'!AQ10+'2008-2010'!AR10+'2008-2010'!AS10+'2008-2010'!AT10</f>
        <v>1170.56</v>
      </c>
      <c r="M15" s="277">
        <f>'[2]Лист1'!AX10</f>
        <v>0</v>
      </c>
      <c r="N15" s="276">
        <f>'2008-2010'!BA10</f>
        <v>3106.35623478</v>
      </c>
      <c r="O15" s="275">
        <f>'2008-2010'!BC10</f>
        <v>-1075.4176211799997</v>
      </c>
      <c r="P15" s="275">
        <f>'[2]Лист1'!BE10</f>
        <v>-534.4700000000001</v>
      </c>
    </row>
    <row r="16" spans="1:18" ht="13.5" thickBot="1">
      <c r="A16" s="282" t="s">
        <v>43</v>
      </c>
      <c r="B16" s="281">
        <f>'2008-2010'!B11</f>
        <v>377.8</v>
      </c>
      <c r="C16" s="38">
        <f>'2008-2010'!C11</f>
        <v>3267.9700000000003</v>
      </c>
      <c r="D16" s="39">
        <f>'2008-2010'!D11</f>
        <v>785.4565895000001</v>
      </c>
      <c r="E16" s="278">
        <f>'2008-2010'!S11</f>
        <v>1951.33</v>
      </c>
      <c r="F16" s="278">
        <f>'2008-2010'!T11</f>
        <v>379.45000000000005</v>
      </c>
      <c r="G16" s="280">
        <f>'2008-2010'!AB11</f>
        <v>1357.68</v>
      </c>
      <c r="H16" s="280">
        <f>'2008-2010'!AC11</f>
        <v>2522.5865895</v>
      </c>
      <c r="I16" s="279">
        <f>'2008-2010'!AF11</f>
        <v>226.68</v>
      </c>
      <c r="J16" s="279">
        <f>'2008-2010'!AG11</f>
        <v>77.46713439999999</v>
      </c>
      <c r="K16" s="278">
        <f>'2008-2010'!AH11+'2008-2010'!AI11+'2008-2010'!AJ11+'2008-2010'!AK11+'2008-2010'!AL11+'2008-2010'!AM11+'2008-2010'!AO11</f>
        <v>1628.429953474</v>
      </c>
      <c r="L16" s="277">
        <f>'2008-2010'!AP11+'2008-2010'!AQ11+'2008-2010'!AR11+'2008-2010'!AS11+'2008-2010'!AT11</f>
        <v>424.8</v>
      </c>
      <c r="M16" s="277">
        <f>'[2]Лист1'!AX11</f>
        <v>0</v>
      </c>
      <c r="N16" s="276">
        <f>'2008-2010'!BA11</f>
        <v>2357.3770878740006</v>
      </c>
      <c r="O16" s="275">
        <f>'2008-2010'!BC11</f>
        <v>165.20950162599956</v>
      </c>
      <c r="P16" s="275">
        <f>'[2]Лист1'!BE11</f>
        <v>-593.6499999999999</v>
      </c>
      <c r="Q16" s="274"/>
      <c r="R16" s="274"/>
    </row>
    <row r="17" spans="1:18" s="27" customFormat="1" ht="13.5" thickBot="1">
      <c r="A17" s="44" t="s">
        <v>5</v>
      </c>
      <c r="B17" s="297"/>
      <c r="C17" s="294">
        <f aca="true" t="shared" si="0" ref="C17:P17">SUM(C14:C16)</f>
        <v>9803.91</v>
      </c>
      <c r="D17" s="296">
        <f t="shared" si="0"/>
        <v>2359.8338167</v>
      </c>
      <c r="E17" s="294">
        <f t="shared" si="0"/>
        <v>4927.85</v>
      </c>
      <c r="F17" s="293">
        <f t="shared" si="0"/>
        <v>959.3700000000001</v>
      </c>
      <c r="G17" s="295">
        <f t="shared" si="0"/>
        <v>2311.4700000000003</v>
      </c>
      <c r="H17" s="294">
        <f t="shared" si="0"/>
        <v>5630.6738167</v>
      </c>
      <c r="I17" s="294">
        <f t="shared" si="0"/>
        <v>680.04</v>
      </c>
      <c r="J17" s="294">
        <f t="shared" si="0"/>
        <v>233.36706</v>
      </c>
      <c r="K17" s="294">
        <f t="shared" si="0"/>
        <v>4894.786823034</v>
      </c>
      <c r="L17" s="294">
        <f t="shared" si="0"/>
        <v>4217.7684</v>
      </c>
      <c r="M17" s="294">
        <f t="shared" si="0"/>
        <v>0</v>
      </c>
      <c r="N17" s="294">
        <f t="shared" si="0"/>
        <v>10025.962283034001</v>
      </c>
      <c r="O17" s="294">
        <f t="shared" si="0"/>
        <v>-4395.288466333999</v>
      </c>
      <c r="P17" s="293">
        <f t="shared" si="0"/>
        <v>-2616.38</v>
      </c>
      <c r="Q17" s="292"/>
      <c r="R17" s="50"/>
    </row>
    <row r="18" spans="1:18" ht="12.75">
      <c r="A18" s="8" t="s">
        <v>44</v>
      </c>
      <c r="B18" s="290"/>
      <c r="C18" s="51"/>
      <c r="D18" s="52"/>
      <c r="E18" s="287"/>
      <c r="F18" s="285"/>
      <c r="G18" s="289"/>
      <c r="H18" s="289"/>
      <c r="I18" s="288"/>
      <c r="J18" s="287"/>
      <c r="K18" s="287"/>
      <c r="L18" s="286"/>
      <c r="M18" s="286"/>
      <c r="N18" s="285"/>
      <c r="O18" s="284"/>
      <c r="P18" s="284"/>
      <c r="Q18" s="274"/>
      <c r="R18" s="274"/>
    </row>
    <row r="19" spans="1:18" ht="12.75">
      <c r="A19" s="283" t="s">
        <v>45</v>
      </c>
      <c r="B19" s="281">
        <f>'2008-2010'!B14</f>
        <v>376.4</v>
      </c>
      <c r="C19" s="38">
        <f>'2008-2010'!C14</f>
        <v>3255.86</v>
      </c>
      <c r="D19" s="39">
        <f>'2008-2010'!D14</f>
        <v>2904.4325</v>
      </c>
      <c r="E19" s="278">
        <f>'2008-2010'!S14</f>
        <v>5884.83</v>
      </c>
      <c r="F19" s="278">
        <f>'2008-2010'!T14</f>
        <v>740.6800000000001</v>
      </c>
      <c r="G19" s="280">
        <f>'2008-2010'!AB14</f>
        <v>4159.450000000001</v>
      </c>
      <c r="H19" s="280">
        <f>'2008-2010'!AC14</f>
        <v>7804.562500000001</v>
      </c>
      <c r="I19" s="278">
        <f>'2008-2010'!AF14</f>
        <v>203.25599999999997</v>
      </c>
      <c r="J19" s="278">
        <f>'2008-2010'!AG14</f>
        <v>67.07448000000001</v>
      </c>
      <c r="K19" s="278">
        <f>'2008-2010'!AH14+'2008-2010'!AI14+'2008-2010'!AJ14+'2008-2010'!AK14+'2008-2010'!AL14+'2008-2010'!AM14</f>
        <v>1384.3231223120001</v>
      </c>
      <c r="L19" s="277">
        <f>'2008-2010'!AP14+'2008-2010'!AQ14+'2008-2010'!AR14+'2008-2010'!AS14+'2008-2010'!AT14</f>
        <v>0</v>
      </c>
      <c r="M19" s="277">
        <f>'2008-2010'!AW14</f>
        <v>0</v>
      </c>
      <c r="N19" s="276">
        <f>'2008-2010'!BA14</f>
        <v>1654.653602312</v>
      </c>
      <c r="O19" s="275">
        <f>'2008-2010'!BC14</f>
        <v>6149.908897688001</v>
      </c>
      <c r="P19" s="275">
        <f>'[2]Лист1'!BE14</f>
        <v>-1725.5699999999997</v>
      </c>
      <c r="Q19" s="274"/>
      <c r="R19" s="274"/>
    </row>
    <row r="20" spans="1:18" ht="12.75">
      <c r="A20" s="283" t="s">
        <v>46</v>
      </c>
      <c r="B20" s="281">
        <f>'2008-2010'!B15</f>
        <v>376.4</v>
      </c>
      <c r="C20" s="38">
        <f>'2008-2010'!C15</f>
        <v>3255.86</v>
      </c>
      <c r="D20" s="39">
        <f>'2008-2010'!D15</f>
        <v>2888.8825</v>
      </c>
      <c r="E20" s="278">
        <f>'2008-2010'!S15</f>
        <v>5881.88</v>
      </c>
      <c r="F20" s="278">
        <f>'2008-2010'!T15</f>
        <v>740.6800000000001</v>
      </c>
      <c r="G20" s="280">
        <f>'2008-2010'!AB15</f>
        <v>4368.43</v>
      </c>
      <c r="H20" s="280">
        <f>'2008-2010'!AC15</f>
        <v>7997.9925</v>
      </c>
      <c r="I20" s="278">
        <f>'2008-2010'!AF15</f>
        <v>203.25599999999997</v>
      </c>
      <c r="J20" s="278">
        <f>'2008-2010'!AG15</f>
        <v>68.903784</v>
      </c>
      <c r="K20" s="278">
        <f>'2008-2010'!AH15+'2008-2010'!AI15+'2008-2010'!AJ15+'2008-2010'!AK15+'2008-2010'!AL15+'2008-2010'!AM15</f>
        <v>1384.1401916319999</v>
      </c>
      <c r="L20" s="277">
        <f>'2008-2010'!AP15+'2008-2010'!AQ15+'2008-2010'!AR15+'2008-2010'!AS15+'2008-2010'!AT15</f>
        <v>0</v>
      </c>
      <c r="M20" s="277">
        <f>'2008-2010'!AW15</f>
        <v>0</v>
      </c>
      <c r="N20" s="276">
        <f>'2008-2010'!BA15</f>
        <v>1656.2999756319998</v>
      </c>
      <c r="O20" s="275">
        <f>'2008-2010'!BC15</f>
        <v>6341.692524368001</v>
      </c>
      <c r="P20" s="275">
        <f>'[2]Лист1'!BE15</f>
        <v>-1513.3600000000006</v>
      </c>
      <c r="Q20" s="274"/>
      <c r="R20" s="274"/>
    </row>
    <row r="21" spans="1:18" ht="12.75">
      <c r="A21" s="283" t="s">
        <v>47</v>
      </c>
      <c r="B21" s="281">
        <f>'2008-2010'!B16</f>
        <v>376.4</v>
      </c>
      <c r="C21" s="38">
        <f>'2008-2010'!C16</f>
        <v>3255.86</v>
      </c>
      <c r="D21" s="39">
        <f>'2008-2010'!D16</f>
        <v>3794.5525000000002</v>
      </c>
      <c r="E21" s="278">
        <f>'2008-2010'!S16</f>
        <v>5880.32</v>
      </c>
      <c r="F21" s="278">
        <f>'2008-2010'!T16</f>
        <v>740.6800000000001</v>
      </c>
      <c r="G21" s="280">
        <f>'2008-2010'!AB16</f>
        <v>5573.27</v>
      </c>
      <c r="H21" s="280">
        <f>'2008-2010'!AC16</f>
        <v>10108.5025</v>
      </c>
      <c r="I21" s="278">
        <f>'2008-2010'!AF16</f>
        <v>203.25599999999997</v>
      </c>
      <c r="J21" s="278">
        <f>'2008-2010'!AG16</f>
        <v>68.369296</v>
      </c>
      <c r="K21" s="278">
        <f>'2008-2010'!AH16+'2008-2010'!AI16+'2008-2010'!AJ16+'2008-2010'!AK16+'2008-2010'!AL16+'2008-2010'!AM16</f>
        <v>1347.417704272</v>
      </c>
      <c r="L21" s="277">
        <f>'2008-2010'!AP16+'2008-2010'!AQ16+'2008-2010'!AR16+'2008-2010'!AS16+'2008-2010'!AT16</f>
        <v>0</v>
      </c>
      <c r="M21" s="277">
        <f>'2008-2010'!AW16</f>
        <v>0</v>
      </c>
      <c r="N21" s="276">
        <f>'2008-2010'!BA16</f>
        <v>1619.043000272</v>
      </c>
      <c r="O21" s="275">
        <f>'2008-2010'!BC16</f>
        <v>8489.459499728</v>
      </c>
      <c r="P21" s="275">
        <f>'[2]Лист1'!BE16</f>
        <v>-300.96000000000004</v>
      </c>
      <c r="Q21" s="274"/>
      <c r="R21" s="274"/>
    </row>
    <row r="22" spans="1:18" ht="12.75">
      <c r="A22" s="283" t="s">
        <v>48</v>
      </c>
      <c r="B22" s="281">
        <f>'2008-2010'!B17</f>
        <v>376.4</v>
      </c>
      <c r="C22" s="38">
        <f>'2008-2010'!C17</f>
        <v>3255.86</v>
      </c>
      <c r="D22" s="39">
        <f>'2008-2010'!D17</f>
        <v>3829.6625</v>
      </c>
      <c r="E22" s="278">
        <f>'2008-2010'!S17</f>
        <v>6768.43</v>
      </c>
      <c r="F22" s="278">
        <f>'2008-2010'!T17</f>
        <v>822.3000000000001</v>
      </c>
      <c r="G22" s="280">
        <f>'2008-2010'!AB17</f>
        <v>3121.42</v>
      </c>
      <c r="H22" s="280">
        <f>'2008-2010'!AC17</f>
        <v>7773.3825</v>
      </c>
      <c r="I22" s="278">
        <f>'2008-2010'!AF17</f>
        <v>203.25599999999997</v>
      </c>
      <c r="J22" s="278">
        <f>'2008-2010'!AG17</f>
        <v>69.513552</v>
      </c>
      <c r="K22" s="278">
        <f>'2008-2010'!AH17+'2008-2010'!AI17+'2008-2010'!AJ17+'2008-2010'!AK17+'2008-2010'!AL17+'2008-2010'!AM17</f>
        <v>1371.471199984</v>
      </c>
      <c r="L22" s="277">
        <f>'2008-2010'!AP17+'2008-2010'!AQ17+'2008-2010'!AR17+'2008-2010'!AS17+'2008-2010'!AT17</f>
        <v>601.8</v>
      </c>
      <c r="M22" s="277">
        <f>'2008-2010'!AW17</f>
        <v>105463.678</v>
      </c>
      <c r="N22" s="276">
        <f>'2008-2010'!BA17</f>
        <v>107709.718751984</v>
      </c>
      <c r="O22" s="275">
        <f>'2008-2010'!BC17</f>
        <v>-99936.336251984</v>
      </c>
      <c r="P22" s="275">
        <f>'[2]Лист1'!BE17</f>
        <v>-3647.01</v>
      </c>
      <c r="Q22" s="274"/>
      <c r="R22" s="274"/>
    </row>
    <row r="23" spans="1:18" ht="12.75">
      <c r="A23" s="283" t="s">
        <v>49</v>
      </c>
      <c r="B23" s="281">
        <f>'2008-2010'!B18</f>
        <v>376.4</v>
      </c>
      <c r="C23" s="38">
        <f>'2008-2010'!C18</f>
        <v>3255.86</v>
      </c>
      <c r="D23" s="39">
        <f>'2008-2010'!D18</f>
        <v>2109.24</v>
      </c>
      <c r="E23" s="278">
        <f>'2008-2010'!S18</f>
        <v>7678.51</v>
      </c>
      <c r="F23" s="278">
        <f>'2008-2010'!T18</f>
        <v>944.02</v>
      </c>
      <c r="G23" s="280">
        <f>'2008-2010'!AB18</f>
        <v>8928.76</v>
      </c>
      <c r="H23" s="280">
        <f>'2008-2010'!AC18</f>
        <v>11982.02</v>
      </c>
      <c r="I23" s="278">
        <f>'2008-2010'!AF18</f>
        <v>225.83999999999997</v>
      </c>
      <c r="J23" s="278">
        <f>'2008-2010'!AG18</f>
        <v>76.03280000000001</v>
      </c>
      <c r="K23" s="278">
        <f>'2008-2010'!AH18+'2008-2010'!AI18+'2008-2010'!AJ18+'2008-2010'!AK18+'2008-2010'!AL18+'2008-2010'!AM18</f>
        <v>1594.50568</v>
      </c>
      <c r="L23" s="277">
        <f>'2008-2010'!AP18+'2008-2010'!AQ18+'2008-2010'!AR18+'2008-2010'!AS18+'2008-2010'!AT18</f>
        <v>0</v>
      </c>
      <c r="M23" s="277">
        <f>'2008-2010'!AW18</f>
        <v>9489.088</v>
      </c>
      <c r="N23" s="276">
        <f>'2008-2010'!BA18</f>
        <v>11385.46648</v>
      </c>
      <c r="O23" s="275">
        <f>'2008-2010'!BC18</f>
        <v>596.5535200000013</v>
      </c>
      <c r="P23" s="275">
        <f>'[2]Лист1'!BE18</f>
        <v>1254.6399999999985</v>
      </c>
      <c r="Q23" s="274"/>
      <c r="R23" s="274"/>
    </row>
    <row r="24" spans="1:18" ht="12.75">
      <c r="A24" s="283" t="s">
        <v>50</v>
      </c>
      <c r="B24" s="281">
        <f>'2008-2010'!B19</f>
        <v>376.4</v>
      </c>
      <c r="C24" s="38">
        <f>'2008-2010'!C19</f>
        <v>3255.86</v>
      </c>
      <c r="D24" s="39">
        <f>'2008-2010'!D19</f>
        <v>7216.33</v>
      </c>
      <c r="E24" s="278">
        <f>'2008-2010'!S19</f>
        <v>7678.52</v>
      </c>
      <c r="F24" s="278">
        <f>'2008-2010'!T19</f>
        <v>944.02</v>
      </c>
      <c r="G24" s="280">
        <f>'2008-2010'!AB19</f>
        <v>14091.960000000001</v>
      </c>
      <c r="H24" s="280">
        <f>'2008-2010'!AC19</f>
        <v>22252.31</v>
      </c>
      <c r="I24" s="278">
        <f>'2008-2010'!AF19</f>
        <v>225.83999999999997</v>
      </c>
      <c r="J24" s="278">
        <f>'2008-2010'!AG19</f>
        <v>76.066676</v>
      </c>
      <c r="K24" s="278">
        <f>'2008-2010'!AH19+'2008-2010'!AI19+'2008-2010'!AJ19+'2008-2010'!AK19+'2008-2010'!AL19+'2008-2010'!AM19</f>
        <v>1594.50568</v>
      </c>
      <c r="L24" s="277">
        <f>'2008-2010'!AP19+'2008-2010'!AQ19+'2008-2010'!AR19+'2008-2010'!AS19+'2008-2010'!AT19</f>
        <v>0</v>
      </c>
      <c r="M24" s="277">
        <f>'2008-2010'!AW19</f>
        <v>0</v>
      </c>
      <c r="N24" s="276">
        <f>'2008-2010'!BA19</f>
        <v>1896.4123559999998</v>
      </c>
      <c r="O24" s="275">
        <f>'2008-2010'!BC19</f>
        <v>20355.897644</v>
      </c>
      <c r="P24" s="275">
        <f>'[2]Лист1'!BE19</f>
        <v>6414.9</v>
      </c>
      <c r="Q24" s="274"/>
      <c r="R24" s="274"/>
    </row>
    <row r="25" spans="1:18" ht="12.75">
      <c r="A25" s="283" t="s">
        <v>51</v>
      </c>
      <c r="B25" s="281">
        <f>'2008-2010'!B20</f>
        <v>376.4</v>
      </c>
      <c r="C25" s="38">
        <f>'2008-2010'!C20</f>
        <v>3255.86</v>
      </c>
      <c r="D25" s="39">
        <f>'2008-2010'!D20</f>
        <v>3337.25</v>
      </c>
      <c r="E25" s="278">
        <f>'2008-2010'!S20</f>
        <v>7678.51</v>
      </c>
      <c r="F25" s="278">
        <f>'2008-2010'!T20</f>
        <v>944.02</v>
      </c>
      <c r="G25" s="280">
        <f>'2008-2010'!AB20</f>
        <v>8918.88</v>
      </c>
      <c r="H25" s="280">
        <f>'2008-2010'!AC20</f>
        <v>13200.15</v>
      </c>
      <c r="I25" s="278">
        <f>'2008-2010'!AF20</f>
        <v>225.83999999999997</v>
      </c>
      <c r="J25" s="278">
        <f>'2008-2010'!AG20</f>
        <v>74.8478928</v>
      </c>
      <c r="K25" s="278">
        <f>'2008-2010'!AH20+'2008-2010'!AI20+'2008-2010'!AJ20+'2008-2010'!AK20+'2008-2010'!AL20+'2008-2010'!AM20</f>
        <v>1577.5457358800002</v>
      </c>
      <c r="L25" s="277">
        <f>'2008-2010'!AP20+'2008-2010'!AQ20+'2008-2010'!AR20+'2008-2010'!AS20+'2008-2010'!AT20</f>
        <v>0</v>
      </c>
      <c r="M25" s="277">
        <f>'2008-2010'!AW20</f>
        <v>0</v>
      </c>
      <c r="N25" s="276">
        <f>'2008-2010'!BA20</f>
        <v>1878.2336286799998</v>
      </c>
      <c r="O25" s="275">
        <f>'2008-2010'!BC20</f>
        <v>11321.91637132</v>
      </c>
      <c r="P25" s="275">
        <f>'[2]Лист1'!BE20</f>
        <v>1240.369999999999</v>
      </c>
      <c r="Q25" s="274"/>
      <c r="R25" s="274"/>
    </row>
    <row r="26" spans="1:18" ht="12.75">
      <c r="A26" s="283" t="s">
        <v>52</v>
      </c>
      <c r="B26" s="281">
        <f>'2008-2010'!B21</f>
        <v>376.4</v>
      </c>
      <c r="C26" s="38">
        <f>'2008-2010'!C21</f>
        <v>3255.86</v>
      </c>
      <c r="D26" s="39">
        <f>'2008-2010'!D21</f>
        <v>2341.83</v>
      </c>
      <c r="E26" s="278">
        <f>'2008-2010'!S21</f>
        <v>7678.51</v>
      </c>
      <c r="F26" s="278">
        <f>'2008-2010'!T21</f>
        <v>944.02</v>
      </c>
      <c r="G26" s="280">
        <f>'2008-2010'!AB21</f>
        <v>4123.28</v>
      </c>
      <c r="H26" s="280">
        <f>'2008-2010'!AC21</f>
        <v>7409.129999999999</v>
      </c>
      <c r="I26" s="278">
        <f>'2008-2010'!AF21</f>
        <v>225.83999999999997</v>
      </c>
      <c r="J26" s="278">
        <f>'2008-2010'!AG21</f>
        <v>75.1859</v>
      </c>
      <c r="K26" s="278">
        <f>'2008-2010'!AH21+'2008-2010'!AI21+'2008-2010'!AJ21+'2008-2010'!AK21+'2008-2010'!AL21+'2008-2010'!AM21</f>
        <v>1576.7711347919999</v>
      </c>
      <c r="L26" s="277">
        <f>'2008-2010'!AP21+'2008-2010'!AQ21+'2008-2010'!AR21+'2008-2010'!AS21+'2008-2010'!AT21</f>
        <v>21471.6104</v>
      </c>
      <c r="M26" s="277">
        <f>'2008-2010'!AW21</f>
        <v>0</v>
      </c>
      <c r="N26" s="276">
        <f>'2008-2010'!BA21</f>
        <v>23349.407434792003</v>
      </c>
      <c r="O26" s="275">
        <f>'2008-2010'!BC21</f>
        <v>-15940.277434792004</v>
      </c>
      <c r="P26" s="275">
        <f>'[2]Лист1'!BE21</f>
        <v>-3555.2300000000005</v>
      </c>
      <c r="Q26" s="274"/>
      <c r="R26" s="274"/>
    </row>
    <row r="27" spans="1:18" ht="12.75">
      <c r="A27" s="283" t="s">
        <v>53</v>
      </c>
      <c r="B27" s="281">
        <f>'2008-2010'!B22</f>
        <v>376.4</v>
      </c>
      <c r="C27" s="38">
        <f>'2008-2010'!C22</f>
        <v>3255.86</v>
      </c>
      <c r="D27" s="39">
        <f>'2008-2010'!D22</f>
        <v>5112.360000000001</v>
      </c>
      <c r="E27" s="278">
        <f>'2008-2010'!S22</f>
        <v>2282.79</v>
      </c>
      <c r="F27" s="278">
        <f>'2008-2010'!T22</f>
        <v>944.02</v>
      </c>
      <c r="G27" s="280">
        <f>'2008-2010'!AB22</f>
        <v>5674.41</v>
      </c>
      <c r="H27" s="280">
        <f>'2008-2010'!AC22</f>
        <v>11730.79</v>
      </c>
      <c r="I27" s="278">
        <f>'2008-2010'!AF22</f>
        <v>225.83999999999997</v>
      </c>
      <c r="J27" s="278">
        <f>'2008-2010'!AG22</f>
        <v>75.257416</v>
      </c>
      <c r="K27" s="278">
        <f>'2008-2010'!AH22+'2008-2010'!AI22+'2008-2010'!AJ22+'2008-2010'!AK22+'2008-2010'!AL22+'2008-2010'!AM22</f>
        <v>1576.4672459936</v>
      </c>
      <c r="L27" s="277">
        <f>'2008-2010'!AP22+'2008-2010'!AQ22+'2008-2010'!AR22+'2008-2010'!AS22+'2008-2010'!AT22</f>
        <v>6333.5556</v>
      </c>
      <c r="M27" s="277">
        <f>'2008-2010'!AW22</f>
        <v>0</v>
      </c>
      <c r="N27" s="276">
        <f>'2008-2010'!BA22</f>
        <v>8211.1202619936</v>
      </c>
      <c r="O27" s="275">
        <f>'2008-2010'!BC22</f>
        <v>3519.6697380064015</v>
      </c>
      <c r="P27" s="275">
        <f>'[2]Лист1'!BE22</f>
        <v>-2004.1000000000004</v>
      </c>
      <c r="Q27" s="274"/>
      <c r="R27" s="274"/>
    </row>
    <row r="28" spans="1:18" ht="12.75">
      <c r="A28" s="283" t="s">
        <v>41</v>
      </c>
      <c r="B28" s="281">
        <f>'2008-2010'!B23</f>
        <v>376.4</v>
      </c>
      <c r="C28" s="38">
        <f>'2008-2010'!C23</f>
        <v>3255.86</v>
      </c>
      <c r="D28" s="39">
        <f>'2008-2010'!D23</f>
        <v>3787.9900000000002</v>
      </c>
      <c r="E28" s="278">
        <f>'2008-2010'!S23</f>
        <v>21719.21</v>
      </c>
      <c r="F28" s="278">
        <f>'2008-2010'!T23</f>
        <v>2263.04</v>
      </c>
      <c r="G28" s="280">
        <f>'2008-2010'!AB23</f>
        <v>5088.27</v>
      </c>
      <c r="H28" s="280">
        <f>'2008-2010'!AC23</f>
        <v>11139.300000000001</v>
      </c>
      <c r="I28" s="278">
        <f>'2008-2010'!AF23</f>
        <v>225.83999999999997</v>
      </c>
      <c r="J28" s="278">
        <f>'2008-2010'!AG23</f>
        <v>75.28</v>
      </c>
      <c r="K28" s="278">
        <f>'2008-2010'!AH23+'2008-2010'!AI23+'2008-2010'!AJ23+'2008-2010'!AK23+'2008-2010'!AL23+'2008-2010'!AM23</f>
        <v>1591.742904</v>
      </c>
      <c r="L28" s="277">
        <f>'2008-2010'!AP23+'2008-2010'!AQ23+'2008-2010'!AR23+'2008-2010'!AS23+'2008-2010'!AT23</f>
        <v>0</v>
      </c>
      <c r="M28" s="277">
        <f>'2008-2010'!AW23</f>
        <v>21251.328</v>
      </c>
      <c r="N28" s="276">
        <f>'2008-2010'!BA23</f>
        <v>23144.190904000003</v>
      </c>
      <c r="O28" s="275">
        <f>'2008-2010'!BC23</f>
        <v>-12004.890904000002</v>
      </c>
      <c r="P28" s="275">
        <f>'[2]Лист1'!BE23</f>
        <v>-16630.94</v>
      </c>
      <c r="Q28" s="274"/>
      <c r="R28" s="274"/>
    </row>
    <row r="29" spans="1:18" ht="12.75">
      <c r="A29" s="283" t="s">
        <v>42</v>
      </c>
      <c r="B29" s="281">
        <f>'2008-2010'!B24</f>
        <v>376.4</v>
      </c>
      <c r="C29" s="38">
        <f>'2008-2010'!C24</f>
        <v>3255.86</v>
      </c>
      <c r="D29" s="39">
        <f>'2008-2010'!D24</f>
        <v>4706.120000000001</v>
      </c>
      <c r="E29" s="278">
        <f>'2008-2010'!S24</f>
        <v>19255.18</v>
      </c>
      <c r="F29" s="278">
        <f>'2008-2010'!T24</f>
        <v>2031</v>
      </c>
      <c r="G29" s="280">
        <f>'2008-2010'!AB24</f>
        <v>20865.839999999997</v>
      </c>
      <c r="H29" s="280">
        <f>'2008-2010'!AC24</f>
        <v>27602.96</v>
      </c>
      <c r="I29" s="278">
        <f>'2008-2010'!AF24</f>
        <v>225.83999999999997</v>
      </c>
      <c r="J29" s="278">
        <f>'2008-2010'!AG24</f>
        <v>75.28</v>
      </c>
      <c r="K29" s="278">
        <f>'2008-2010'!AH24+'2008-2010'!AI24+'2008-2010'!AJ24+'2008-2010'!AK24+'2008-2010'!AL24+'2008-2010'!AM24</f>
        <v>1594.50568</v>
      </c>
      <c r="L29" s="277">
        <f>'2008-2010'!AP24+'2008-2010'!AQ24+'2008-2010'!AR24+'2008-2010'!AS24+'2008-2010'!AT24</f>
        <v>0</v>
      </c>
      <c r="M29" s="277">
        <f>'2008-2010'!AW24</f>
        <v>18555.264</v>
      </c>
      <c r="N29" s="276">
        <f>'2008-2010'!BA24</f>
        <v>20450.88968</v>
      </c>
      <c r="O29" s="275">
        <f>'2008-2010'!BC24</f>
        <v>7152.070319999999</v>
      </c>
      <c r="P29" s="275">
        <f>'[2]Лист1'!BE24</f>
        <v>3842.5499999999956</v>
      </c>
      <c r="Q29" s="274"/>
      <c r="R29" s="274"/>
    </row>
    <row r="30" spans="1:18" ht="13.5" thickBot="1">
      <c r="A30" s="282" t="s">
        <v>43</v>
      </c>
      <c r="B30" s="281">
        <f>'2008-2010'!B25</f>
        <v>376.4</v>
      </c>
      <c r="C30" s="38">
        <f>'2008-2010'!C25</f>
        <v>3255.86</v>
      </c>
      <c r="D30" s="39">
        <f>'2008-2010'!D25</f>
        <v>3172.75</v>
      </c>
      <c r="E30" s="278">
        <f>'2008-2010'!S25</f>
        <v>25132.36</v>
      </c>
      <c r="F30" s="278">
        <f>'2008-2010'!T25</f>
        <v>2603.2299999999996</v>
      </c>
      <c r="G30" s="280">
        <f>'2008-2010'!AB25</f>
        <v>15256.26</v>
      </c>
      <c r="H30" s="280">
        <f>'2008-2010'!AC25</f>
        <v>21032.239999999998</v>
      </c>
      <c r="I30" s="278">
        <f>'2008-2010'!AF25</f>
        <v>225.83999999999997</v>
      </c>
      <c r="J30" s="278">
        <f>'2008-2010'!AG25</f>
        <v>75.28</v>
      </c>
      <c r="K30" s="278">
        <f>'2008-2010'!AH25+'2008-2010'!AI25+'2008-2010'!AJ25+'2008-2010'!AK25+'2008-2010'!AL25+'2008-2010'!AM25</f>
        <v>1594.50568</v>
      </c>
      <c r="L30" s="277">
        <f>'2008-2010'!AP25+'2008-2010'!AQ25+'2008-2010'!AR25+'2008-2010'!AS25+'2008-2010'!AT25</f>
        <v>5452.544</v>
      </c>
      <c r="M30" s="277">
        <f>'2008-2010'!AW25</f>
        <v>25004.672</v>
      </c>
      <c r="N30" s="276">
        <f>'2008-2010'!BA25</f>
        <v>32352.841679999998</v>
      </c>
      <c r="O30" s="275">
        <f>'2008-2010'!BC25</f>
        <v>-11320.60168</v>
      </c>
      <c r="P30" s="275">
        <f>'[2]Лист1'!BE25</f>
        <v>-9876.1</v>
      </c>
      <c r="Q30" s="274"/>
      <c r="R30" s="274"/>
    </row>
    <row r="31" spans="1:18" s="27" customFormat="1" ht="13.5" thickBot="1">
      <c r="A31" s="44" t="s">
        <v>5</v>
      </c>
      <c r="B31" s="45"/>
      <c r="C31" s="46">
        <f aca="true" t="shared" si="1" ref="C31:P31">SUM(C19:C30)</f>
        <v>39070.32</v>
      </c>
      <c r="D31" s="47">
        <f t="shared" si="1"/>
        <v>45201.4</v>
      </c>
      <c r="E31" s="46">
        <f t="shared" si="1"/>
        <v>123519.05</v>
      </c>
      <c r="F31" s="48">
        <f t="shared" si="1"/>
        <v>14661.71</v>
      </c>
      <c r="G31" s="291">
        <f t="shared" si="1"/>
        <v>100170.23</v>
      </c>
      <c r="H31" s="46">
        <f t="shared" si="1"/>
        <v>160033.34</v>
      </c>
      <c r="I31" s="47">
        <f t="shared" si="1"/>
        <v>2619.7439999999997</v>
      </c>
      <c r="J31" s="46">
        <f t="shared" si="1"/>
        <v>877.0917968</v>
      </c>
      <c r="K31" s="46">
        <f t="shared" si="1"/>
        <v>18187.901958865597</v>
      </c>
      <c r="L31" s="46">
        <f t="shared" si="1"/>
        <v>33859.51</v>
      </c>
      <c r="M31" s="46">
        <f t="shared" si="1"/>
        <v>179764.03</v>
      </c>
      <c r="N31" s="48">
        <f t="shared" si="1"/>
        <v>235308.2777556656</v>
      </c>
      <c r="O31" s="49">
        <f t="shared" si="1"/>
        <v>-75274.93775566563</v>
      </c>
      <c r="P31" s="49">
        <f t="shared" si="1"/>
        <v>-26500.810000000005</v>
      </c>
      <c r="Q31" s="50"/>
      <c r="R31" s="50"/>
    </row>
    <row r="32" spans="1:18" s="27" customFormat="1" ht="9.75" customHeight="1" thickBot="1">
      <c r="A32" s="44"/>
      <c r="B32" s="45"/>
      <c r="C32" s="46"/>
      <c r="D32" s="47"/>
      <c r="E32" s="46"/>
      <c r="F32" s="48"/>
      <c r="G32" s="291"/>
      <c r="H32" s="46"/>
      <c r="I32" s="47"/>
      <c r="J32" s="46"/>
      <c r="K32" s="46"/>
      <c r="L32" s="46"/>
      <c r="M32" s="46"/>
      <c r="N32" s="48"/>
      <c r="O32" s="49"/>
      <c r="P32" s="49"/>
      <c r="Q32" s="50"/>
      <c r="R32" s="50"/>
    </row>
    <row r="33" spans="1:18" s="27" customFormat="1" ht="13.5" thickBot="1">
      <c r="A33" s="44" t="s">
        <v>5</v>
      </c>
      <c r="B33" s="45"/>
      <c r="C33" s="49">
        <f aca="true" t="shared" si="2" ref="C33:O33">C31+C17</f>
        <v>48874.229999999996</v>
      </c>
      <c r="D33" s="49">
        <f t="shared" si="2"/>
        <v>47561.2338167</v>
      </c>
      <c r="E33" s="49">
        <f t="shared" si="2"/>
        <v>128446.90000000001</v>
      </c>
      <c r="F33" s="49">
        <f t="shared" si="2"/>
        <v>15621.08</v>
      </c>
      <c r="G33" s="49">
        <f t="shared" si="2"/>
        <v>102481.7</v>
      </c>
      <c r="H33" s="49">
        <f t="shared" si="2"/>
        <v>165664.0138167</v>
      </c>
      <c r="I33" s="49">
        <f t="shared" si="2"/>
        <v>3299.7839999999997</v>
      </c>
      <c r="J33" s="49">
        <f t="shared" si="2"/>
        <v>1110.4588568</v>
      </c>
      <c r="K33" s="49">
        <f t="shared" si="2"/>
        <v>23082.688781899597</v>
      </c>
      <c r="L33" s="49">
        <f t="shared" si="2"/>
        <v>38077.2784</v>
      </c>
      <c r="M33" s="49">
        <f t="shared" si="2"/>
        <v>179764.03</v>
      </c>
      <c r="N33" s="49">
        <f t="shared" si="2"/>
        <v>245334.2400386996</v>
      </c>
      <c r="O33" s="49">
        <f t="shared" si="2"/>
        <v>-79670.22622199962</v>
      </c>
      <c r="P33" s="49">
        <f>P31+P17</f>
        <v>-29117.190000000006</v>
      </c>
      <c r="Q33" s="50"/>
      <c r="R33" s="50"/>
    </row>
    <row r="34" spans="1:18" ht="12.75">
      <c r="A34" s="8" t="s">
        <v>82</v>
      </c>
      <c r="B34" s="290"/>
      <c r="C34" s="51"/>
      <c r="D34" s="52"/>
      <c r="E34" s="287"/>
      <c r="F34" s="285"/>
      <c r="G34" s="289"/>
      <c r="H34" s="289"/>
      <c r="I34" s="288"/>
      <c r="J34" s="287"/>
      <c r="K34" s="287"/>
      <c r="L34" s="286"/>
      <c r="M34" s="286"/>
      <c r="N34" s="285"/>
      <c r="O34" s="284"/>
      <c r="P34" s="284"/>
      <c r="Q34" s="274"/>
      <c r="R34" s="274"/>
    </row>
    <row r="35" spans="1:18" ht="12.75">
      <c r="A35" s="283" t="s">
        <v>45</v>
      </c>
      <c r="B35" s="281">
        <f>'2008-2010'!B30</f>
        <v>376.4</v>
      </c>
      <c r="C35" s="38">
        <f>'2008-2010'!C30</f>
        <v>3255.86</v>
      </c>
      <c r="D35" s="39">
        <f>'2008-2010'!D30</f>
        <v>6770.79</v>
      </c>
      <c r="E35" s="278">
        <f>'2008-2010'!S30</f>
        <v>29018.22</v>
      </c>
      <c r="F35" s="276">
        <f>'2008-2010'!T30</f>
        <v>2943.93</v>
      </c>
      <c r="G35" s="280">
        <f>'2008-2010'!AB30</f>
        <v>8106.66</v>
      </c>
      <c r="H35" s="280">
        <f>'2008-2010'!AC30</f>
        <v>17821.379999999997</v>
      </c>
      <c r="I35" s="279">
        <f>'2008-2010'!AF30</f>
        <v>225.83999999999997</v>
      </c>
      <c r="J35" s="279">
        <f>'2008-2010'!AG30</f>
        <v>75.28</v>
      </c>
      <c r="K35" s="278">
        <f>'2008-2010'!AH30+'2008-2010'!AI30+'2008-2010'!AJ30+'2008-2010'!AK30+'2008-2010'!AL30+'2008-2010'!AM30+'2008-2010'!AN30+'2008-2010'!AO30</f>
        <v>1592.172</v>
      </c>
      <c r="L35" s="277">
        <f>'2008-2010'!AP30+'2008-2010'!AQ30+'2008-2010'!AR30+'2008-2010'!AS30+'2008-2010'!AT30</f>
        <v>4915</v>
      </c>
      <c r="M35" s="277">
        <f>'2008-2010'!AW30</f>
        <v>29231.999999999996</v>
      </c>
      <c r="N35" s="276">
        <f>'2008-2010'!BA30</f>
        <v>36040.292</v>
      </c>
      <c r="O35" s="275">
        <f>'2008-2010'!BC30</f>
        <v>-18218.912000000004</v>
      </c>
      <c r="P35" s="275">
        <f>'2008-2010'!BD30</f>
        <v>-20911.56</v>
      </c>
      <c r="Q35" s="274"/>
      <c r="R35" s="274"/>
    </row>
    <row r="36" spans="1:18" ht="12.75">
      <c r="A36" s="283" t="s">
        <v>46</v>
      </c>
      <c r="B36" s="281">
        <f>'2008-2010'!B31</f>
        <v>376.4</v>
      </c>
      <c r="C36" s="38">
        <f>'2008-2010'!C31</f>
        <v>3255.86</v>
      </c>
      <c r="D36" s="39">
        <f>'2008-2010'!D31</f>
        <v>7832.740000000001</v>
      </c>
      <c r="E36" s="278">
        <f>'2008-2010'!S31</f>
        <v>27861.6</v>
      </c>
      <c r="F36" s="276">
        <f>'2008-2010'!T31</f>
        <v>2836.2699999999995</v>
      </c>
      <c r="G36" s="280">
        <f>'2008-2010'!AB31</f>
        <v>11860.77</v>
      </c>
      <c r="H36" s="280">
        <f>'2008-2010'!AC31</f>
        <v>22529.78</v>
      </c>
      <c r="I36" s="279">
        <f>'2008-2010'!AF31</f>
        <v>225.83999999999997</v>
      </c>
      <c r="J36" s="279">
        <f>'2008-2010'!AG31</f>
        <v>75.28</v>
      </c>
      <c r="K36" s="278">
        <f>'2008-2010'!AH31+'2008-2010'!AI31+'2008-2010'!AJ31+'2008-2010'!AK31+'2008-2010'!AL31+'2008-2010'!AM31+'2008-2010'!AN31+'2008-2010'!AO31</f>
        <v>1592.172</v>
      </c>
      <c r="L36" s="277">
        <f>'2008-2010'!AP31+'2008-2010'!AQ31+'2008-2010'!AR31+'2008-2010'!AS31+'2008-2010'!AT31</f>
        <v>0</v>
      </c>
      <c r="M36" s="277">
        <f>'2008-2010'!AW31</f>
        <v>27972</v>
      </c>
      <c r="N36" s="276">
        <f>'2008-2010'!BA31</f>
        <v>29865.292</v>
      </c>
      <c r="O36" s="275">
        <f>'2008-2010'!BC31</f>
        <v>-7335.512000000002</v>
      </c>
      <c r="P36" s="275">
        <f>'2008-2010'!BD31</f>
        <v>-16000.829999999998</v>
      </c>
      <c r="Q36" s="274"/>
      <c r="R36" s="274"/>
    </row>
    <row r="37" spans="1:18" ht="12.75">
      <c r="A37" s="283" t="s">
        <v>47</v>
      </c>
      <c r="B37" s="281">
        <f>'2008-2010'!B32</f>
        <v>376.4</v>
      </c>
      <c r="C37" s="38">
        <f>'2008-2010'!C32</f>
        <v>3255.86</v>
      </c>
      <c r="D37" s="39">
        <f>'2008-2010'!D32</f>
        <v>5289.52</v>
      </c>
      <c r="E37" s="278">
        <f>'2008-2010'!S32</f>
        <v>16407.920000000002</v>
      </c>
      <c r="F37" s="276">
        <f>'2008-2010'!T32</f>
        <v>2255.54</v>
      </c>
      <c r="G37" s="280">
        <f>'2008-2010'!AB32</f>
        <v>28545.350000000002</v>
      </c>
      <c r="H37" s="280">
        <f>'2008-2010'!AC32</f>
        <v>36090.41</v>
      </c>
      <c r="I37" s="279">
        <f>'2008-2010'!AF32</f>
        <v>225.83999999999997</v>
      </c>
      <c r="J37" s="279">
        <f>'2008-2010'!AG32</f>
        <v>75.28</v>
      </c>
      <c r="K37" s="278">
        <f>'2008-2010'!AH32+'2008-2010'!AI32+'2008-2010'!AJ32+'2008-2010'!AK32+'2008-2010'!AL32+'2008-2010'!AM32+'2008-2010'!AN32+'2008-2010'!AO32</f>
        <v>1592.172</v>
      </c>
      <c r="L37" s="277">
        <f>'2008-2010'!AP32+'2008-2010'!AQ32+'2008-2010'!AR32+'2008-2010'!AS32+'2008-2010'!AT32</f>
        <v>5599</v>
      </c>
      <c r="M37" s="277">
        <f>'2008-2010'!AW32</f>
        <v>23520</v>
      </c>
      <c r="N37" s="276">
        <f>'2008-2010'!BA32</f>
        <v>31012.292</v>
      </c>
      <c r="O37" s="275">
        <f>'2008-2010'!BC32</f>
        <v>5078.118000000002</v>
      </c>
      <c r="P37" s="275">
        <f>'2008-2010'!BD32</f>
        <v>12137.43</v>
      </c>
      <c r="Q37" s="274"/>
      <c r="R37" s="274"/>
    </row>
    <row r="38" spans="1:18" ht="12.75">
      <c r="A38" s="283" t="s">
        <v>48</v>
      </c>
      <c r="B38" s="281">
        <f>'2008-2010'!B33</f>
        <v>376.4</v>
      </c>
      <c r="C38" s="38">
        <f>'2008-2010'!C33</f>
        <v>3255.86</v>
      </c>
      <c r="D38" s="39">
        <f>'2008-2010'!D33</f>
        <v>6235.120000000001</v>
      </c>
      <c r="E38" s="278">
        <f>'2008-2010'!S33</f>
        <v>19388.88</v>
      </c>
      <c r="F38" s="276">
        <f>'2008-2010'!T33</f>
        <v>2045.69</v>
      </c>
      <c r="G38" s="280">
        <f>'2008-2010'!AB33</f>
        <v>23933.71</v>
      </c>
      <c r="H38" s="280">
        <f>'2008-2010'!AC33</f>
        <v>32214.52</v>
      </c>
      <c r="I38" s="279">
        <f>'2008-2010'!AF33</f>
        <v>225.83999999999997</v>
      </c>
      <c r="J38" s="279">
        <f>'2008-2010'!AG33</f>
        <v>75.28</v>
      </c>
      <c r="K38" s="278">
        <f>'2008-2010'!AH33+'2008-2010'!AI33+'2008-2010'!AJ33+'2008-2010'!AK33+'2008-2010'!AL33+'2008-2010'!AM33+'2008-2010'!AN33+'2008-2010'!AO33</f>
        <v>2574.9719999999998</v>
      </c>
      <c r="L38" s="277">
        <f>'2008-2010'!AP33+'2008-2010'!AQ33+'2008-2010'!AR33+'2008-2010'!AS33+'2008-2010'!AT33</f>
        <v>890</v>
      </c>
      <c r="M38" s="277">
        <f>'2008-2010'!AW33</f>
        <v>20790</v>
      </c>
      <c r="N38" s="276">
        <f>'2008-2010'!BA33</f>
        <v>24556.092000000004</v>
      </c>
      <c r="O38" s="275">
        <f>'2008-2010'!BC33</f>
        <v>7658.427999999996</v>
      </c>
      <c r="P38" s="275">
        <f>'2008-2010'!BD33</f>
        <v>4544.829999999998</v>
      </c>
      <c r="Q38" s="274"/>
      <c r="R38" s="274"/>
    </row>
    <row r="39" spans="1:18" ht="12.75">
      <c r="A39" s="283" t="s">
        <v>49</v>
      </c>
      <c r="B39" s="281">
        <f>'2008-2010'!B34</f>
        <v>376.4</v>
      </c>
      <c r="C39" s="38">
        <f>'2008-2010'!C34</f>
        <v>3255.86</v>
      </c>
      <c r="D39" s="39">
        <f>'2008-2010'!D34</f>
        <v>5729.76</v>
      </c>
      <c r="E39" s="278">
        <f>'2008-2010'!S34</f>
        <v>9914.76</v>
      </c>
      <c r="F39" s="276">
        <f>'2008-2010'!T34</f>
        <v>1161.27</v>
      </c>
      <c r="G39" s="280">
        <f>'2008-2010'!AB34</f>
        <v>10699.37</v>
      </c>
      <c r="H39" s="280">
        <f>'2008-2010'!AC34</f>
        <v>17590.4</v>
      </c>
      <c r="I39" s="279">
        <f>'2008-2010'!AF34</f>
        <v>225.83999999999997</v>
      </c>
      <c r="J39" s="279">
        <f>'2008-2010'!AG34</f>
        <v>75.28</v>
      </c>
      <c r="K39" s="278">
        <f>'2008-2010'!AH34+'2008-2010'!AI34+'2008-2010'!AJ34+'2008-2010'!AK34+'2008-2010'!AL34+'2008-2010'!AM34+'2008-2010'!AN34+'2008-2010'!AO34</f>
        <v>1592.172</v>
      </c>
      <c r="L39" s="277">
        <f>'2008-2010'!AP34+'2008-2010'!AQ34+'2008-2010'!AR34+'2008-2010'!AS34+'2008-2010'!AT34</f>
        <v>0</v>
      </c>
      <c r="M39" s="277">
        <f>'2008-2010'!AW34</f>
        <v>9282</v>
      </c>
      <c r="N39" s="276">
        <f>'2008-2010'!BA34</f>
        <v>11175.292000000001</v>
      </c>
      <c r="O39" s="275">
        <f>'2008-2010'!BC34</f>
        <v>6415.108</v>
      </c>
      <c r="P39" s="275">
        <f>'2008-2010'!BD34</f>
        <v>784.6100000000006</v>
      </c>
      <c r="Q39" s="274"/>
      <c r="R39" s="274"/>
    </row>
    <row r="40" spans="1:18" ht="12.75">
      <c r="A40" s="283" t="s">
        <v>50</v>
      </c>
      <c r="B40" s="281">
        <f>'2008-2010'!B35</f>
        <v>376.4</v>
      </c>
      <c r="C40" s="38">
        <f>'2008-2010'!C35</f>
        <v>3255.86</v>
      </c>
      <c r="D40" s="39">
        <f>'2008-2010'!D35</f>
        <v>532.1500000000008</v>
      </c>
      <c r="E40" s="278">
        <f>'2008-2010'!S35</f>
        <v>2275.58</v>
      </c>
      <c r="F40" s="276">
        <f>'2008-2010'!T35</f>
        <v>448.13</v>
      </c>
      <c r="G40" s="280">
        <f>'2008-2010'!AB35</f>
        <v>17400.18</v>
      </c>
      <c r="H40" s="280">
        <f>'2008-2010'!AC35</f>
        <v>18380.460000000003</v>
      </c>
      <c r="I40" s="279">
        <f>'2008-2010'!AF35</f>
        <v>225.83999999999997</v>
      </c>
      <c r="J40" s="279">
        <f>'2008-2010'!AG35</f>
        <v>75.28</v>
      </c>
      <c r="K40" s="278">
        <f>'2008-2010'!AH35+'2008-2010'!AI35+'2008-2010'!AJ35+'2008-2010'!AK35+'2008-2010'!AL35+'2008-2010'!AM35+'2008-2010'!AN35+'2008-2010'!AO35</f>
        <v>1592.172</v>
      </c>
      <c r="L40" s="277">
        <f>'2008-2010'!AP35+'2008-2010'!AQ35+'2008-2010'!AR35+'2008-2010'!AS35+'2008-2010'!AT35</f>
        <v>0</v>
      </c>
      <c r="M40" s="277">
        <f>'2008-2010'!AW35</f>
        <v>0</v>
      </c>
      <c r="N40" s="276">
        <f>'2008-2010'!BA35</f>
        <v>1893.292</v>
      </c>
      <c r="O40" s="275">
        <f>'2008-2010'!BC35</f>
        <v>16487.168</v>
      </c>
      <c r="P40" s="275">
        <f>'2008-2010'!BD35</f>
        <v>15124.6</v>
      </c>
      <c r="Q40" s="274"/>
      <c r="R40" s="274"/>
    </row>
    <row r="41" spans="1:18" ht="14.25" customHeight="1">
      <c r="A41" s="283" t="s">
        <v>51</v>
      </c>
      <c r="B41" s="281">
        <f>'2008-2010'!B36</f>
        <v>376.4</v>
      </c>
      <c r="C41" s="38">
        <f>'2008-2010'!C36</f>
        <v>3255.86</v>
      </c>
      <c r="D41" s="39">
        <f>'2008-2010'!D36</f>
        <v>532.1500000000002</v>
      </c>
      <c r="E41" s="278">
        <f>'2008-2010'!S36</f>
        <v>2723.71</v>
      </c>
      <c r="F41" s="276">
        <f>'2008-2010'!T36</f>
        <v>0</v>
      </c>
      <c r="G41" s="280">
        <f>'2008-2010'!AB36</f>
        <v>1701.3400000000001</v>
      </c>
      <c r="H41" s="280">
        <f>'2008-2010'!AC36</f>
        <v>2233.4900000000002</v>
      </c>
      <c r="I41" s="279">
        <f>'2008-2010'!AF36</f>
        <v>225.83999999999997</v>
      </c>
      <c r="J41" s="279">
        <f>'2008-2010'!AG36</f>
        <v>75.28</v>
      </c>
      <c r="K41" s="278">
        <f>'2008-2010'!AH36+'2008-2010'!AI36+'2008-2010'!AJ36+'2008-2010'!AK36+'2008-2010'!AL36+'2008-2010'!AM36+'2008-2010'!AN36+'2008-2010'!AO36</f>
        <v>1592.172</v>
      </c>
      <c r="L41" s="277">
        <f>'2008-2010'!AP36+'2008-2010'!AQ36+'2008-2010'!AR36+'2008-2010'!AS36+'2008-2010'!AT36</f>
        <v>0</v>
      </c>
      <c r="M41" s="277">
        <f>'2008-2010'!AW36</f>
        <v>0</v>
      </c>
      <c r="N41" s="276">
        <f>'2008-2010'!BA36</f>
        <v>1893.292</v>
      </c>
      <c r="O41" s="275">
        <f>'2008-2010'!BC36</f>
        <v>340.1980000000003</v>
      </c>
      <c r="P41" s="275">
        <f>'2008-2010'!BD36</f>
        <v>-1022.3699999999999</v>
      </c>
      <c r="Q41" s="274"/>
      <c r="R41" s="274"/>
    </row>
    <row r="42" spans="1:18" ht="12.75">
      <c r="A42" s="283" t="s">
        <v>52</v>
      </c>
      <c r="B42" s="281">
        <f>'2008-2010'!B37</f>
        <v>376.4</v>
      </c>
      <c r="C42" s="38">
        <f>'2008-2010'!C37</f>
        <v>3255.86</v>
      </c>
      <c r="D42" s="39">
        <f>'2008-2010'!D37</f>
        <v>532.1500000000002</v>
      </c>
      <c r="E42" s="278">
        <f>'2008-2010'!S37</f>
        <v>2723.71</v>
      </c>
      <c r="F42" s="276">
        <f>'2008-2010'!T37</f>
        <v>0</v>
      </c>
      <c r="G42" s="280">
        <f>'2008-2010'!AB37</f>
        <v>5715.18</v>
      </c>
      <c r="H42" s="280">
        <f>'2008-2010'!AC37</f>
        <v>6247.330000000001</v>
      </c>
      <c r="I42" s="279">
        <f>'2008-2010'!AF37</f>
        <v>225.83999999999997</v>
      </c>
      <c r="J42" s="279">
        <f>'2008-2010'!AG37</f>
        <v>75.28</v>
      </c>
      <c r="K42" s="278">
        <f>'2008-2010'!AH37+'2008-2010'!AI37+'2008-2010'!AJ37+'2008-2010'!AK37+'2008-2010'!AL37+'2008-2010'!AM37+'2008-2010'!AN37+'2008-2010'!AO37</f>
        <v>1592.172</v>
      </c>
      <c r="L42" s="277">
        <f>'2008-2010'!AP37+'2008-2010'!AQ37+'2008-2010'!AR37+'2008-2010'!AS37+'2008-2010'!AT37</f>
        <v>3991.8</v>
      </c>
      <c r="M42" s="277">
        <f>'2008-2010'!AW37</f>
        <v>0</v>
      </c>
      <c r="N42" s="276">
        <f>'2008-2010'!BA37</f>
        <v>5885.092</v>
      </c>
      <c r="O42" s="275">
        <f>'2008-2010'!BC37</f>
        <v>362.2380000000012</v>
      </c>
      <c r="P42" s="275">
        <f>'2008-2010'!BD37</f>
        <v>2991.4700000000003</v>
      </c>
      <c r="Q42" s="274"/>
      <c r="R42" s="274"/>
    </row>
    <row r="43" spans="1:18" ht="12.75">
      <c r="A43" s="283" t="s">
        <v>53</v>
      </c>
      <c r="B43" s="281">
        <f>'2008-2010'!B38</f>
        <v>376.4</v>
      </c>
      <c r="C43" s="38">
        <f>'2008-2010'!C38</f>
        <v>3255.86</v>
      </c>
      <c r="D43" s="39">
        <f>'2008-2010'!D38</f>
        <v>809.3500000000001</v>
      </c>
      <c r="E43" s="278">
        <f>'2008-2010'!S38</f>
        <v>5219.23</v>
      </c>
      <c r="F43" s="276">
        <f>'2008-2010'!T38</f>
        <v>0</v>
      </c>
      <c r="G43" s="280">
        <f>'2008-2010'!AB38</f>
        <v>27652.73</v>
      </c>
      <c r="H43" s="280">
        <f>'2008-2010'!AC38</f>
        <v>28462.079999999998</v>
      </c>
      <c r="I43" s="279">
        <f>'2008-2010'!AF38</f>
        <v>225.83999999999997</v>
      </c>
      <c r="J43" s="279">
        <f>'2008-2010'!AG38</f>
        <v>75.28</v>
      </c>
      <c r="K43" s="278">
        <f>'2008-2010'!AH38+'2008-2010'!AI38+'2008-2010'!AJ38+'2008-2010'!AK38+'2008-2010'!AL38+'2008-2010'!AM38+'2008-2010'!AN38+'2008-2010'!AO38</f>
        <v>1592.172</v>
      </c>
      <c r="L43" s="277">
        <f>'2008-2010'!AP38+'2008-2010'!AQ38+'2008-2010'!AR38+'2008-2010'!AS38+'2008-2010'!AT38</f>
        <v>8750</v>
      </c>
      <c r="M43" s="277">
        <f>'2008-2010'!AW38</f>
        <v>2772</v>
      </c>
      <c r="N43" s="276">
        <f>'2008-2010'!BA38</f>
        <v>13415.292</v>
      </c>
      <c r="O43" s="275">
        <f>'2008-2010'!BC38</f>
        <v>15046.787999999999</v>
      </c>
      <c r="P43" s="275">
        <f>'2008-2010'!BD38</f>
        <v>22433.5</v>
      </c>
      <c r="Q43" s="274"/>
      <c r="R43" s="274"/>
    </row>
    <row r="44" spans="1:18" ht="12.75">
      <c r="A44" s="283" t="s">
        <v>41</v>
      </c>
      <c r="B44" s="281">
        <f>'2008-2010'!B39</f>
        <v>376.4</v>
      </c>
      <c r="C44" s="38">
        <f>'2008-2010'!C39</f>
        <v>3255.86</v>
      </c>
      <c r="D44" s="39">
        <f>'2008-2010'!D39</f>
        <v>532.1500000000002</v>
      </c>
      <c r="E44" s="278">
        <f>'2008-2010'!S39</f>
        <v>2723.71</v>
      </c>
      <c r="F44" s="276">
        <f>'2008-2010'!T39</f>
        <v>0</v>
      </c>
      <c r="G44" s="280">
        <f>'2008-2010'!AB39</f>
        <v>8701.09</v>
      </c>
      <c r="H44" s="280">
        <f>'2008-2010'!AC39</f>
        <v>9233.24</v>
      </c>
      <c r="I44" s="279">
        <f>'2008-2010'!AF39</f>
        <v>225.83999999999997</v>
      </c>
      <c r="J44" s="279">
        <f>'2008-2010'!AG39</f>
        <v>75.28</v>
      </c>
      <c r="K44" s="278">
        <f>'2008-2010'!AH39+'2008-2010'!AI39+'2008-2010'!AJ39+'2008-2010'!AK39+'2008-2010'!AL39+'2008-2010'!AM39+'2008-2010'!AN39+'2008-2010'!AO39</f>
        <v>1592.172</v>
      </c>
      <c r="L44" s="277">
        <f>'2008-2010'!AP39+'2008-2010'!AQ39+'2008-2010'!AR39+'2008-2010'!AS39+'2008-2010'!AT39</f>
        <v>42</v>
      </c>
      <c r="M44" s="277">
        <f>'2008-2010'!AW39</f>
        <v>0</v>
      </c>
      <c r="N44" s="276">
        <f>'2008-2010'!BA39</f>
        <v>1935.292</v>
      </c>
      <c r="O44" s="275">
        <f>'2008-2010'!BC39</f>
        <v>7297.948</v>
      </c>
      <c r="P44" s="275">
        <f>'2008-2010'!BD39</f>
        <v>5977.38</v>
      </c>
      <c r="Q44" s="274"/>
      <c r="R44" s="274"/>
    </row>
    <row r="45" spans="1:18" ht="12.75">
      <c r="A45" s="283" t="s">
        <v>42</v>
      </c>
      <c r="B45" s="281">
        <f>'2008-2010'!B40</f>
        <v>376.4</v>
      </c>
      <c r="C45" s="38">
        <f>'2008-2010'!C40</f>
        <v>3255.86</v>
      </c>
      <c r="D45" s="39">
        <f>'2008-2010'!D40</f>
        <v>532.1500000000002</v>
      </c>
      <c r="E45" s="278">
        <f>'2008-2010'!S40</f>
        <v>2723.71</v>
      </c>
      <c r="F45" s="276">
        <f>'2008-2010'!T40</f>
        <v>0</v>
      </c>
      <c r="G45" s="280">
        <f>'2008-2010'!AB40</f>
        <v>1726.94</v>
      </c>
      <c r="H45" s="280">
        <f>'2008-2010'!AC40</f>
        <v>2259.09</v>
      </c>
      <c r="I45" s="279">
        <f>'2008-2010'!AF40</f>
        <v>225.83999999999997</v>
      </c>
      <c r="J45" s="279">
        <f>'2008-2010'!AG40</f>
        <v>75.28</v>
      </c>
      <c r="K45" s="278">
        <f>'2008-2010'!AH40+'2008-2010'!AI40+'2008-2010'!AJ40+'2008-2010'!AK40+'2008-2010'!AL40+'2008-2010'!AM40+'2008-2010'!AN40+'2008-2010'!AO40</f>
        <v>0</v>
      </c>
      <c r="L45" s="277">
        <f>'2008-2010'!AP40+'2008-2010'!AQ40+'2008-2010'!AR40+'2008-2010'!AS40+'2008-2010'!AT40</f>
        <v>0</v>
      </c>
      <c r="M45" s="277">
        <f>'2008-2010'!AW40</f>
        <v>0</v>
      </c>
      <c r="N45" s="276">
        <f>'2008-2010'!BA40</f>
        <v>301.12</v>
      </c>
      <c r="O45" s="275">
        <f>'2008-2010'!BC40</f>
        <v>1957.9700000000003</v>
      </c>
      <c r="P45" s="275">
        <f>'2008-2010'!BD40</f>
        <v>-996.77</v>
      </c>
      <c r="Q45" s="274"/>
      <c r="R45" s="274"/>
    </row>
    <row r="46" spans="1:18" ht="13.5" thickBot="1">
      <c r="A46" s="282" t="s">
        <v>43</v>
      </c>
      <c r="B46" s="281">
        <f>'2008-2010'!B41</f>
        <v>375.2</v>
      </c>
      <c r="C46" s="38">
        <f>'2008-2010'!C41</f>
        <v>3245.48</v>
      </c>
      <c r="D46" s="39">
        <f>'2008-2010'!D41</f>
        <v>322.98000000000013</v>
      </c>
      <c r="E46" s="278">
        <f>'2008-2010'!S41</f>
        <v>2922.5</v>
      </c>
      <c r="F46" s="276">
        <f>'2008-2010'!T41</f>
        <v>0</v>
      </c>
      <c r="G46" s="280">
        <f>'2008-2010'!AB41</f>
        <v>4035.81</v>
      </c>
      <c r="H46" s="280">
        <f>'2008-2010'!AC41</f>
        <v>4358.79</v>
      </c>
      <c r="I46" s="279">
        <f>'2008-2010'!AF41</f>
        <v>225.11999999999998</v>
      </c>
      <c r="J46" s="279">
        <f>'2008-2010'!AG41</f>
        <v>75.04</v>
      </c>
      <c r="K46" s="278">
        <f>'2008-2010'!AH41+'2008-2010'!AI41+'2008-2010'!AJ41+'2008-2010'!AK41+'2008-2010'!AL41+'2008-2010'!AM41+'2008-2010'!AN41+'2008-2010'!AO41</f>
        <v>0</v>
      </c>
      <c r="L46" s="277">
        <f>'2008-2010'!AP41+'2008-2010'!AQ41+'2008-2010'!AR41+'2008-2010'!AS41+'2008-2010'!AT41</f>
        <v>5079</v>
      </c>
      <c r="M46" s="277">
        <f>'2008-2010'!AW41</f>
        <v>84</v>
      </c>
      <c r="N46" s="276">
        <f>'2008-2010'!BA41</f>
        <v>5463.16</v>
      </c>
      <c r="O46" s="275">
        <f>H46-N46</f>
        <v>-1104.37</v>
      </c>
      <c r="P46" s="275">
        <f>'2008-2010'!BD41</f>
        <v>1113.31</v>
      </c>
      <c r="Q46" s="274"/>
      <c r="R46" s="274"/>
    </row>
    <row r="47" spans="1:18" s="27" customFormat="1" ht="13.5" thickBot="1">
      <c r="A47" s="44" t="s">
        <v>5</v>
      </c>
      <c r="B47" s="45"/>
      <c r="C47" s="46">
        <f aca="true" t="shared" si="3" ref="C47:M47">SUM(C35:C46)</f>
        <v>39059.94</v>
      </c>
      <c r="D47" s="46">
        <f t="shared" si="3"/>
        <v>35651.01000000002</v>
      </c>
      <c r="E47" s="46">
        <f t="shared" si="3"/>
        <v>123903.53000000003</v>
      </c>
      <c r="F47" s="46">
        <f t="shared" si="3"/>
        <v>11690.829999999998</v>
      </c>
      <c r="G47" s="46">
        <f t="shared" si="3"/>
        <v>150079.12999999998</v>
      </c>
      <c r="H47" s="46">
        <f t="shared" si="3"/>
        <v>197420.96999999997</v>
      </c>
      <c r="I47" s="46">
        <f t="shared" si="3"/>
        <v>2709.3599999999997</v>
      </c>
      <c r="J47" s="46">
        <f t="shared" si="3"/>
        <v>903.1199999999998</v>
      </c>
      <c r="K47" s="46">
        <f t="shared" si="3"/>
        <v>16904.52</v>
      </c>
      <c r="L47" s="46">
        <f t="shared" si="3"/>
        <v>29266.8</v>
      </c>
      <c r="M47" s="46">
        <f t="shared" si="3"/>
        <v>113652</v>
      </c>
      <c r="N47" s="46">
        <f>SUM(I47:M47)</f>
        <v>163435.8</v>
      </c>
      <c r="O47" s="46">
        <f>H47-N47</f>
        <v>33985.169999999984</v>
      </c>
      <c r="P47" s="46">
        <f>SUM(P35:P46)</f>
        <v>26175.600000000002</v>
      </c>
      <c r="Q47" s="50"/>
      <c r="R47" s="50"/>
    </row>
    <row r="48" spans="1:18" s="27" customFormat="1" ht="10.5" customHeight="1" thickBot="1">
      <c r="A48" s="44"/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8"/>
      <c r="Q48" s="50"/>
      <c r="R48" s="50"/>
    </row>
    <row r="49" spans="1:18" s="27" customFormat="1" ht="13.5" thickBot="1">
      <c r="A49" s="57" t="s">
        <v>54</v>
      </c>
      <c r="B49" s="58"/>
      <c r="C49" s="59">
        <f aca="true" t="shared" si="4" ref="C49:P49">C17+C31+C47</f>
        <v>87934.17</v>
      </c>
      <c r="D49" s="59">
        <f t="shared" si="4"/>
        <v>83212.24381670001</v>
      </c>
      <c r="E49" s="59">
        <f t="shared" si="4"/>
        <v>252350.43000000005</v>
      </c>
      <c r="F49" s="59">
        <f t="shared" si="4"/>
        <v>27311.909999999996</v>
      </c>
      <c r="G49" s="59">
        <f t="shared" si="4"/>
        <v>252560.82999999996</v>
      </c>
      <c r="H49" s="59">
        <f t="shared" si="4"/>
        <v>363084.98381669994</v>
      </c>
      <c r="I49" s="59">
        <f t="shared" si="4"/>
        <v>6009.143999999999</v>
      </c>
      <c r="J49" s="59">
        <f t="shared" si="4"/>
        <v>2013.5788567999998</v>
      </c>
      <c r="K49" s="59">
        <f t="shared" si="4"/>
        <v>39987.20878189959</v>
      </c>
      <c r="L49" s="59">
        <f t="shared" si="4"/>
        <v>67344.0784</v>
      </c>
      <c r="M49" s="59">
        <f t="shared" si="4"/>
        <v>293416.03</v>
      </c>
      <c r="N49" s="59">
        <f t="shared" si="4"/>
        <v>408770.0400386996</v>
      </c>
      <c r="O49" s="59">
        <f t="shared" si="4"/>
        <v>-45685.056221999635</v>
      </c>
      <c r="P49" s="59">
        <f t="shared" si="4"/>
        <v>-2941.590000000004</v>
      </c>
      <c r="Q49" s="60"/>
      <c r="R49" s="50"/>
    </row>
    <row r="50" spans="1:18" s="27" customFormat="1" ht="8.25" customHeight="1">
      <c r="A50" s="255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50"/>
    </row>
    <row r="51" ht="12" customHeight="1">
      <c r="A51" s="324" t="s">
        <v>123</v>
      </c>
    </row>
    <row r="52" ht="12.75">
      <c r="A52" s="273" t="s">
        <v>74</v>
      </c>
    </row>
  </sheetData>
  <sheetProtection/>
  <mergeCells count="19">
    <mergeCell ref="L10:L11"/>
    <mergeCell ref="M10:M11"/>
    <mergeCell ref="N10:N11"/>
    <mergeCell ref="A5:O5"/>
    <mergeCell ref="A8:A11"/>
    <mergeCell ref="B8:B11"/>
    <mergeCell ref="C8:C11"/>
    <mergeCell ref="D8:D11"/>
    <mergeCell ref="E8:F9"/>
    <mergeCell ref="I8:N9"/>
    <mergeCell ref="A6:G6"/>
    <mergeCell ref="G8:H9"/>
    <mergeCell ref="P8:P11"/>
    <mergeCell ref="E10:F10"/>
    <mergeCell ref="H10:H11"/>
    <mergeCell ref="I10:I11"/>
    <mergeCell ref="J10:J11"/>
    <mergeCell ref="K10:K11"/>
    <mergeCell ref="O8:O11"/>
  </mergeCells>
  <printOptions/>
  <pageMargins left="0.3937007874015748" right="0.3937007874015748" top="0.17" bottom="0.16" header="0.17" footer="0.16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47"/>
  <sheetViews>
    <sheetView zoomScalePageLayoutView="0" workbookViewId="0" topLeftCell="A1">
      <pane xSplit="2" ySplit="7" topLeftCell="AL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U8" sqref="AU8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1" width="10.375" style="2" customWidth="1"/>
    <col min="32" max="32" width="10.875" style="2" customWidth="1"/>
    <col min="33" max="33" width="10.25390625" style="2" customWidth="1"/>
    <col min="34" max="34" width="10.125" style="2" bestFit="1" customWidth="1"/>
    <col min="35" max="38" width="9.25390625" style="2" bestFit="1" customWidth="1"/>
    <col min="39" max="39" width="10.125" style="2" bestFit="1" customWidth="1"/>
    <col min="40" max="42" width="9.25390625" style="2" bestFit="1" customWidth="1"/>
    <col min="43" max="45" width="9.25390625" style="2" customWidth="1"/>
    <col min="46" max="46" width="10.125" style="2" bestFit="1" customWidth="1"/>
    <col min="47" max="47" width="11.625" style="2" customWidth="1"/>
    <col min="48" max="48" width="10.875" style="2" customWidth="1"/>
    <col min="49" max="49" width="10.625" style="2" customWidth="1"/>
    <col min="50" max="50" width="9.25390625" style="2" customWidth="1"/>
    <col min="51" max="51" width="10.625" style="2" customWidth="1"/>
    <col min="52" max="52" width="9.25390625" style="2" bestFit="1" customWidth="1"/>
    <col min="53" max="54" width="10.125" style="2" bestFit="1" customWidth="1"/>
    <col min="55" max="56" width="10.375" style="2" customWidth="1"/>
    <col min="57" max="57" width="14.00390625" style="2" customWidth="1"/>
    <col min="58" max="58" width="10.375" style="2" customWidth="1"/>
    <col min="59" max="16384" width="9.125" style="2" customWidth="1"/>
  </cols>
  <sheetData>
    <row r="1" spans="1:18" ht="21" customHeight="1">
      <c r="A1" s="441" t="s">
        <v>112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29.25" customHeight="1" thickBot="1">
      <c r="A3" s="442" t="s">
        <v>0</v>
      </c>
      <c r="B3" s="444" t="s">
        <v>1</v>
      </c>
      <c r="C3" s="446" t="s">
        <v>2</v>
      </c>
      <c r="D3" s="448" t="s">
        <v>3</v>
      </c>
      <c r="E3" s="442" t="s">
        <v>83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02"/>
      <c r="S3" s="442"/>
      <c r="T3" s="450"/>
      <c r="U3" s="442" t="s">
        <v>5</v>
      </c>
      <c r="V3" s="450"/>
      <c r="W3" s="454" t="s">
        <v>6</v>
      </c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6"/>
      <c r="AJ3" s="411" t="s">
        <v>84</v>
      </c>
      <c r="AK3" s="420" t="s">
        <v>10</v>
      </c>
      <c r="AL3" s="421"/>
      <c r="AM3" s="421"/>
      <c r="AN3" s="421"/>
      <c r="AO3" s="421"/>
      <c r="AP3" s="421"/>
      <c r="AQ3" s="421"/>
      <c r="AR3" s="421"/>
      <c r="AS3" s="421"/>
      <c r="AT3" s="421"/>
      <c r="AU3" s="421"/>
      <c r="AV3" s="421"/>
      <c r="AW3" s="421"/>
      <c r="AX3" s="421"/>
      <c r="AY3" s="421"/>
      <c r="AZ3" s="421"/>
      <c r="BA3" s="421"/>
      <c r="BB3" s="421"/>
      <c r="BC3" s="421"/>
      <c r="BD3" s="421"/>
      <c r="BE3" s="426" t="s">
        <v>11</v>
      </c>
      <c r="BF3" s="464" t="s">
        <v>12</v>
      </c>
    </row>
    <row r="4" spans="1:58" ht="51.75" customHeight="1" hidden="1" thickBot="1">
      <c r="A4" s="443"/>
      <c r="B4" s="445"/>
      <c r="C4" s="447"/>
      <c r="D4" s="449"/>
      <c r="E4" s="443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381"/>
      <c r="S4" s="452"/>
      <c r="T4" s="453"/>
      <c r="U4" s="452"/>
      <c r="V4" s="453"/>
      <c r="W4" s="457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9"/>
      <c r="AJ4" s="412"/>
      <c r="AK4" s="422"/>
      <c r="AL4" s="423"/>
      <c r="AM4" s="423"/>
      <c r="AN4" s="423"/>
      <c r="AO4" s="423"/>
      <c r="AP4" s="423"/>
      <c r="AQ4" s="423"/>
      <c r="AR4" s="423"/>
      <c r="AS4" s="423"/>
      <c r="AT4" s="423"/>
      <c r="AU4" s="423"/>
      <c r="AV4" s="423"/>
      <c r="AW4" s="423"/>
      <c r="AX4" s="423"/>
      <c r="AY4" s="423"/>
      <c r="AZ4" s="423"/>
      <c r="BA4" s="423"/>
      <c r="BB4" s="423"/>
      <c r="BC4" s="423"/>
      <c r="BD4" s="423"/>
      <c r="BE4" s="427"/>
      <c r="BF4" s="465"/>
    </row>
    <row r="5" spans="1:58" ht="19.5" customHeight="1">
      <c r="A5" s="443"/>
      <c r="B5" s="445"/>
      <c r="C5" s="447"/>
      <c r="D5" s="449"/>
      <c r="E5" s="467" t="s">
        <v>13</v>
      </c>
      <c r="F5" s="438"/>
      <c r="G5" s="467" t="s">
        <v>85</v>
      </c>
      <c r="H5" s="438"/>
      <c r="I5" s="467" t="s">
        <v>14</v>
      </c>
      <c r="J5" s="438"/>
      <c r="K5" s="467" t="s">
        <v>16</v>
      </c>
      <c r="L5" s="438"/>
      <c r="M5" s="467" t="s">
        <v>15</v>
      </c>
      <c r="N5" s="438"/>
      <c r="O5" s="437" t="s">
        <v>17</v>
      </c>
      <c r="P5" s="437"/>
      <c r="Q5" s="467" t="s">
        <v>86</v>
      </c>
      <c r="R5" s="438"/>
      <c r="S5" s="437" t="s">
        <v>18</v>
      </c>
      <c r="T5" s="438"/>
      <c r="U5" s="460" t="s">
        <v>20</v>
      </c>
      <c r="V5" s="462" t="s">
        <v>21</v>
      </c>
      <c r="W5" s="405" t="s">
        <v>22</v>
      </c>
      <c r="X5" s="405" t="s">
        <v>87</v>
      </c>
      <c r="Y5" s="405" t="s">
        <v>23</v>
      </c>
      <c r="Z5" s="405" t="s">
        <v>25</v>
      </c>
      <c r="AA5" s="405" t="s">
        <v>24</v>
      </c>
      <c r="AB5" s="405" t="s">
        <v>26</v>
      </c>
      <c r="AC5" s="405" t="s">
        <v>27</v>
      </c>
      <c r="AD5" s="414" t="s">
        <v>28</v>
      </c>
      <c r="AE5" s="414" t="s">
        <v>88</v>
      </c>
      <c r="AF5" s="470" t="s">
        <v>29</v>
      </c>
      <c r="AG5" s="416" t="s">
        <v>89</v>
      </c>
      <c r="AH5" s="429" t="s">
        <v>8</v>
      </c>
      <c r="AI5" s="431" t="s">
        <v>9</v>
      </c>
      <c r="AJ5" s="412"/>
      <c r="AK5" s="433" t="s">
        <v>90</v>
      </c>
      <c r="AL5" s="409" t="s">
        <v>91</v>
      </c>
      <c r="AM5" s="409" t="s">
        <v>92</v>
      </c>
      <c r="AN5" s="407" t="s">
        <v>93</v>
      </c>
      <c r="AO5" s="409" t="s">
        <v>94</v>
      </c>
      <c r="AP5" s="407" t="s">
        <v>95</v>
      </c>
      <c r="AQ5" s="407" t="s">
        <v>96</v>
      </c>
      <c r="AR5" s="407" t="s">
        <v>109</v>
      </c>
      <c r="AS5" s="407" t="s">
        <v>97</v>
      </c>
      <c r="AT5" s="407" t="s">
        <v>36</v>
      </c>
      <c r="AU5" s="368" t="s">
        <v>98</v>
      </c>
      <c r="AV5" s="366" t="s">
        <v>99</v>
      </c>
      <c r="AW5" s="368" t="s">
        <v>100</v>
      </c>
      <c r="AX5" s="359" t="s">
        <v>101</v>
      </c>
      <c r="AY5" s="105"/>
      <c r="AZ5" s="418" t="s">
        <v>19</v>
      </c>
      <c r="BA5" s="407" t="s">
        <v>38</v>
      </c>
      <c r="BB5" s="407" t="s">
        <v>33</v>
      </c>
      <c r="BC5" s="435" t="s">
        <v>39</v>
      </c>
      <c r="BD5" s="424" t="s">
        <v>102</v>
      </c>
      <c r="BE5" s="427"/>
      <c r="BF5" s="465"/>
    </row>
    <row r="6" spans="1:58" ht="66.75" customHeight="1" thickBot="1">
      <c r="A6" s="443"/>
      <c r="B6" s="445"/>
      <c r="C6" s="447"/>
      <c r="D6" s="449"/>
      <c r="E6" s="468"/>
      <c r="F6" s="440"/>
      <c r="G6" s="468"/>
      <c r="H6" s="440"/>
      <c r="I6" s="468"/>
      <c r="J6" s="440"/>
      <c r="K6" s="468"/>
      <c r="L6" s="440"/>
      <c r="M6" s="468"/>
      <c r="N6" s="440"/>
      <c r="O6" s="469"/>
      <c r="P6" s="469"/>
      <c r="Q6" s="468"/>
      <c r="R6" s="440"/>
      <c r="S6" s="439"/>
      <c r="T6" s="440"/>
      <c r="U6" s="461"/>
      <c r="V6" s="463"/>
      <c r="W6" s="406"/>
      <c r="X6" s="406"/>
      <c r="Y6" s="406"/>
      <c r="Z6" s="406"/>
      <c r="AA6" s="406"/>
      <c r="AB6" s="406"/>
      <c r="AC6" s="406"/>
      <c r="AD6" s="415"/>
      <c r="AE6" s="415"/>
      <c r="AF6" s="471"/>
      <c r="AG6" s="417"/>
      <c r="AH6" s="430"/>
      <c r="AI6" s="432"/>
      <c r="AJ6" s="413"/>
      <c r="AK6" s="434"/>
      <c r="AL6" s="410"/>
      <c r="AM6" s="410"/>
      <c r="AN6" s="408"/>
      <c r="AO6" s="410"/>
      <c r="AP6" s="408"/>
      <c r="AQ6" s="408"/>
      <c r="AR6" s="408"/>
      <c r="AS6" s="408"/>
      <c r="AT6" s="408"/>
      <c r="AU6" s="369"/>
      <c r="AV6" s="367"/>
      <c r="AW6" s="369"/>
      <c r="AX6" s="360"/>
      <c r="AY6" s="104" t="s">
        <v>103</v>
      </c>
      <c r="AZ6" s="419"/>
      <c r="BA6" s="408"/>
      <c r="BB6" s="408"/>
      <c r="BC6" s="436"/>
      <c r="BD6" s="425"/>
      <c r="BE6" s="428"/>
      <c r="BF6" s="466"/>
    </row>
    <row r="7" spans="1:58" ht="13.5" thickBot="1">
      <c r="A7" s="108">
        <v>1</v>
      </c>
      <c r="B7" s="108">
        <v>2</v>
      </c>
      <c r="C7" s="108">
        <v>3</v>
      </c>
      <c r="D7" s="108">
        <v>4</v>
      </c>
      <c r="E7" s="108">
        <v>5</v>
      </c>
      <c r="F7" s="108">
        <v>6</v>
      </c>
      <c r="G7" s="108">
        <v>7</v>
      </c>
      <c r="H7" s="108">
        <v>8</v>
      </c>
      <c r="I7" s="108">
        <v>9</v>
      </c>
      <c r="J7" s="108">
        <v>10</v>
      </c>
      <c r="K7" s="108">
        <v>11</v>
      </c>
      <c r="L7" s="108">
        <v>12</v>
      </c>
      <c r="M7" s="108">
        <v>13</v>
      </c>
      <c r="N7" s="108">
        <v>14</v>
      </c>
      <c r="O7" s="108">
        <v>15</v>
      </c>
      <c r="P7" s="108">
        <v>16</v>
      </c>
      <c r="Q7" s="108">
        <v>17</v>
      </c>
      <c r="R7" s="108">
        <v>18</v>
      </c>
      <c r="S7" s="108">
        <v>19</v>
      </c>
      <c r="T7" s="108">
        <v>20</v>
      </c>
      <c r="U7" s="108">
        <v>21</v>
      </c>
      <c r="V7" s="108">
        <v>22</v>
      </c>
      <c r="W7" s="108">
        <v>23</v>
      </c>
      <c r="X7" s="108">
        <v>24</v>
      </c>
      <c r="Y7" s="108">
        <v>25</v>
      </c>
      <c r="Z7" s="108">
        <v>26</v>
      </c>
      <c r="AA7" s="108">
        <v>27</v>
      </c>
      <c r="AB7" s="108">
        <v>28</v>
      </c>
      <c r="AC7" s="108">
        <v>29</v>
      </c>
      <c r="AD7" s="108">
        <v>30</v>
      </c>
      <c r="AE7" s="108">
        <v>31</v>
      </c>
      <c r="AF7" s="108">
        <v>32</v>
      </c>
      <c r="AG7" s="108">
        <v>33</v>
      </c>
      <c r="AH7" s="108">
        <v>34</v>
      </c>
      <c r="AI7" s="108">
        <v>35</v>
      </c>
      <c r="AJ7" s="108">
        <v>36</v>
      </c>
      <c r="AK7" s="108">
        <v>37</v>
      </c>
      <c r="AL7" s="108">
        <v>38</v>
      </c>
      <c r="AM7" s="108">
        <v>39</v>
      </c>
      <c r="AN7" s="108">
        <v>40</v>
      </c>
      <c r="AO7" s="108">
        <v>41</v>
      </c>
      <c r="AP7" s="108">
        <v>42</v>
      </c>
      <c r="AQ7" s="108">
        <v>43</v>
      </c>
      <c r="AR7" s="108">
        <v>44</v>
      </c>
      <c r="AS7" s="108">
        <v>45</v>
      </c>
      <c r="AT7" s="108">
        <v>46</v>
      </c>
      <c r="AU7" s="108">
        <v>47</v>
      </c>
      <c r="AV7" s="108">
        <v>48</v>
      </c>
      <c r="AW7" s="108">
        <v>49</v>
      </c>
      <c r="AX7" s="108">
        <v>50</v>
      </c>
      <c r="AY7" s="108">
        <v>51</v>
      </c>
      <c r="AZ7" s="108">
        <v>52</v>
      </c>
      <c r="BA7" s="108">
        <v>53</v>
      </c>
      <c r="BB7" s="108">
        <v>54</v>
      </c>
      <c r="BC7" s="108">
        <v>55</v>
      </c>
      <c r="BD7" s="108">
        <v>56</v>
      </c>
      <c r="BE7" s="108">
        <v>57</v>
      </c>
      <c r="BF7" s="108">
        <v>58</v>
      </c>
    </row>
    <row r="8" spans="1:58" s="27" customFormat="1" ht="13.5" thickBot="1">
      <c r="A8" s="194" t="s">
        <v>54</v>
      </c>
      <c r="B8" s="109"/>
      <c r="C8" s="109">
        <f>'[2]Лист1'!$C$42</f>
        <v>87934.17</v>
      </c>
      <c r="D8" s="109">
        <f>'[2]Лист1'!$D$42</f>
        <v>83212.24381670001</v>
      </c>
      <c r="E8" s="109">
        <f>'2008-2010'!E44</f>
        <v>7491.83</v>
      </c>
      <c r="F8" s="109">
        <f>'2008-2010'!F44</f>
        <v>1115.8</v>
      </c>
      <c r="G8" s="109"/>
      <c r="H8" s="109"/>
      <c r="I8" s="109">
        <f>'2008-2010'!G44</f>
        <v>9184.189999999999</v>
      </c>
      <c r="J8" s="109">
        <f>'2008-2010'!H44</f>
        <v>1510.4599999999998</v>
      </c>
      <c r="K8" s="109">
        <f>'2008-2010'!K44</f>
        <v>14561.170000000002</v>
      </c>
      <c r="L8" s="109">
        <f>'2008-2010'!L44</f>
        <v>2140.8200000000006</v>
      </c>
      <c r="M8" s="109">
        <f>'2008-2010'!I44</f>
        <v>23693.75</v>
      </c>
      <c r="N8" s="109">
        <f>'2008-2010'!J44</f>
        <v>3091.3399999999997</v>
      </c>
      <c r="O8" s="109">
        <f>'2008-2010'!M44</f>
        <v>6266.1900000000005</v>
      </c>
      <c r="P8" s="109">
        <f>'2008-2010'!N44</f>
        <v>892.5699999999999</v>
      </c>
      <c r="Q8" s="109"/>
      <c r="R8" s="195"/>
      <c r="S8" s="199">
        <f>'2008-2010'!O44</f>
        <v>191153.3</v>
      </c>
      <c r="T8" s="200">
        <f>'2008-2010'!P44</f>
        <v>18560.92</v>
      </c>
      <c r="U8" s="197">
        <f>E8+G8+I8+K8+M8+O8+S8</f>
        <v>252350.43</v>
      </c>
      <c r="V8" s="109">
        <f>F8+H8+J8+L8+N8+P8+R8+T8</f>
        <v>27311.909999999996</v>
      </c>
      <c r="W8" s="109">
        <f>'2008-2010'!U44</f>
        <v>7025.920000000001</v>
      </c>
      <c r="X8" s="109"/>
      <c r="Y8" s="109">
        <f>'2008-2010'!V44</f>
        <v>8669.66</v>
      </c>
      <c r="Z8" s="109">
        <f>'2008-2010'!X44</f>
        <v>13613.689999999999</v>
      </c>
      <c r="AA8" s="109">
        <f>'2008-2010'!W44</f>
        <v>19972.120000000003</v>
      </c>
      <c r="AB8" s="109">
        <f>'2008-2010'!Y44</f>
        <v>5652.950000000001</v>
      </c>
      <c r="AC8" s="109">
        <f>'2008-2010'!Z44</f>
        <v>197626.49</v>
      </c>
      <c r="AD8" s="109"/>
      <c r="AF8" s="109">
        <f>SUM(W8:AE8)</f>
        <v>252560.83</v>
      </c>
      <c r="AG8" s="109">
        <f>D8+V8+AF8</f>
        <v>363084.9838167</v>
      </c>
      <c r="AH8" s="109">
        <f>'[2]Лист1'!$AD$42</f>
        <v>201902.91</v>
      </c>
      <c r="AI8" s="109"/>
      <c r="AJ8" s="109"/>
      <c r="AK8" s="109">
        <f>'[2]Лист1'!$AG$42</f>
        <v>6009.143999999999</v>
      </c>
      <c r="AL8" s="109">
        <f>'[2]Лист1'!$AH$42</f>
        <v>2013.5788567999998</v>
      </c>
      <c r="AM8" s="109">
        <f>'[2]Лист1'!$AI$42+'[2]Лист1'!$AJ$42</f>
        <v>9223.81388442</v>
      </c>
      <c r="AN8" s="109"/>
      <c r="AO8" s="109">
        <f>'[2]Лист1'!$AK$42+'[2]Лист1'!$AL$42</f>
        <v>9213.8372797864</v>
      </c>
      <c r="AP8" s="109">
        <f>'[2]Лист1'!$AM$42+'[2]Лист1'!$AN$42</f>
        <v>20566.7576176932</v>
      </c>
      <c r="AQ8" s="109"/>
      <c r="AR8" s="109"/>
      <c r="AS8" s="109"/>
      <c r="AT8" s="109">
        <f>'2008-2010'!AN44</f>
        <v>982.8</v>
      </c>
      <c r="AU8" s="109">
        <f>'2008-2010'!AR44+'2008-2010'!AS44+'2008-2010'!AT44</f>
        <v>55467.4784</v>
      </c>
      <c r="AV8" s="109"/>
      <c r="AW8" s="109"/>
      <c r="AX8" s="109">
        <f>'2008-2010'!AP44+'2008-2010'!AQ44</f>
        <v>11876.6</v>
      </c>
      <c r="AY8" s="110">
        <f>'2008-2010'!AW44</f>
        <v>293416.03</v>
      </c>
      <c r="AZ8" s="110"/>
      <c r="BA8" s="110"/>
      <c r="BB8" s="110"/>
      <c r="BC8" s="110">
        <f>'2008-2010'!BA44</f>
        <v>408770.0400386995</v>
      </c>
      <c r="BD8" s="110">
        <f>'2008-2010'!BB44</f>
        <v>0</v>
      </c>
      <c r="BE8" s="202">
        <f>-45685.15</f>
        <v>-45685.15</v>
      </c>
      <c r="BF8" s="202">
        <f>'2008-2010'!BD44</f>
        <v>210.40000000000146</v>
      </c>
    </row>
    <row r="9" spans="1:58" ht="12.75">
      <c r="A9" s="5" t="s">
        <v>108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196"/>
      <c r="S9" s="12"/>
      <c r="T9" s="11"/>
      <c r="U9" s="198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111"/>
      <c r="BF9" s="203"/>
    </row>
    <row r="10" spans="1:64" ht="14.25">
      <c r="A10" s="12" t="s">
        <v>45</v>
      </c>
      <c r="B10" s="206">
        <v>376.1</v>
      </c>
      <c r="C10" s="143">
        <f aca="true" t="shared" si="0" ref="C10:C17">B10*8.65*0.9</f>
        <v>2927.9385</v>
      </c>
      <c r="D10" s="174">
        <v>46.002</v>
      </c>
      <c r="E10" s="220">
        <v>0</v>
      </c>
      <c r="F10" s="220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2667.22</v>
      </c>
      <c r="N10" s="144">
        <v>0</v>
      </c>
      <c r="O10" s="145">
        <v>271.63</v>
      </c>
      <c r="P10" s="235">
        <v>0</v>
      </c>
      <c r="Q10" s="246">
        <v>0</v>
      </c>
      <c r="R10" s="247">
        <v>0</v>
      </c>
      <c r="S10" s="234">
        <v>0</v>
      </c>
      <c r="T10" s="237">
        <v>0</v>
      </c>
      <c r="U10" s="248">
        <f aca="true" t="shared" si="1" ref="U10:V17">E10+G10+I10+K10+M10+O10+Q10+S10</f>
        <v>2938.85</v>
      </c>
      <c r="V10" s="249">
        <f t="shared" si="1"/>
        <v>0</v>
      </c>
      <c r="W10" s="250">
        <v>22.5</v>
      </c>
      <c r="X10" s="250"/>
      <c r="Y10" s="250">
        <v>30.52</v>
      </c>
      <c r="Z10" s="250">
        <v>45.78</v>
      </c>
      <c r="AA10" s="250">
        <v>688.3</v>
      </c>
      <c r="AB10" s="251">
        <v>82.54</v>
      </c>
      <c r="AC10" s="252">
        <v>-297.23</v>
      </c>
      <c r="AD10" s="220">
        <v>0</v>
      </c>
      <c r="AE10" s="239">
        <v>0</v>
      </c>
      <c r="AF10" s="239">
        <f aca="true" t="shared" si="2" ref="AF10:AF21">SUM(W10:AE10)</f>
        <v>572.4099999999999</v>
      </c>
      <c r="AG10" s="113">
        <f>AF10+V10+D10</f>
        <v>618.4119999999998</v>
      </c>
      <c r="AH10" s="150">
        <f aca="true" t="shared" si="3" ref="AH10:AI17">AC10</f>
        <v>-297.23</v>
      </c>
      <c r="AI10" s="150">
        <f t="shared" si="3"/>
        <v>0</v>
      </c>
      <c r="AJ10" s="146"/>
      <c r="AK10" s="102">
        <f aca="true" t="shared" si="4" ref="AK10:AK17">0.67*B10</f>
        <v>251.98700000000002</v>
      </c>
      <c r="AL10" s="102">
        <f aca="true" t="shared" si="5" ref="AL10:AL17">B10*0.2</f>
        <v>75.22000000000001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/>
      <c r="AU10" s="147"/>
      <c r="AV10" s="148"/>
      <c r="AW10" s="147"/>
      <c r="AX10" s="147"/>
      <c r="AY10" s="102"/>
      <c r="AZ10" s="93"/>
      <c r="BA10" s="93"/>
      <c r="BB10" s="93">
        <f>AZ10*0.18</f>
        <v>0</v>
      </c>
      <c r="BC10" s="257">
        <f aca="true" t="shared" si="6" ref="BC10:BC21">SUM(AK10:BB10)</f>
        <v>327.20700000000005</v>
      </c>
      <c r="BD10" s="149"/>
      <c r="BE10" s="94">
        <f>AG10-BC10</f>
        <v>291.20499999999976</v>
      </c>
      <c r="BF10" s="30">
        <f>AF10-U10</f>
        <v>-2366.44</v>
      </c>
      <c r="BG10" s="3"/>
      <c r="BH10" s="3"/>
      <c r="BI10" s="60"/>
      <c r="BJ10" s="115"/>
      <c r="BK10" s="60"/>
      <c r="BL10" s="115"/>
    </row>
    <row r="11" spans="1:60" ht="12.75">
      <c r="A11" s="12" t="s">
        <v>46</v>
      </c>
      <c r="B11" s="142">
        <v>376.1</v>
      </c>
      <c r="C11" s="143">
        <f t="shared" si="0"/>
        <v>2927.9385</v>
      </c>
      <c r="D11" s="174">
        <v>46.002</v>
      </c>
      <c r="E11" s="220">
        <v>0</v>
      </c>
      <c r="F11" s="220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2667.22</v>
      </c>
      <c r="N11" s="144">
        <v>0</v>
      </c>
      <c r="O11" s="145">
        <v>271.63</v>
      </c>
      <c r="P11" s="219">
        <v>0</v>
      </c>
      <c r="Q11" s="220">
        <v>0</v>
      </c>
      <c r="R11" s="220">
        <v>0</v>
      </c>
      <c r="S11" s="220">
        <v>0</v>
      </c>
      <c r="T11" s="144">
        <v>0</v>
      </c>
      <c r="U11" s="238">
        <f t="shared" si="1"/>
        <v>2938.85</v>
      </c>
      <c r="V11" s="249">
        <f t="shared" si="1"/>
        <v>0</v>
      </c>
      <c r="W11" s="144">
        <v>119.35</v>
      </c>
      <c r="X11" s="220"/>
      <c r="Y11" s="144">
        <v>161.8</v>
      </c>
      <c r="Z11" s="144">
        <v>242.69</v>
      </c>
      <c r="AA11" s="144">
        <v>2651.99</v>
      </c>
      <c r="AB11" s="220">
        <v>329.39</v>
      </c>
      <c r="AC11" s="144">
        <v>1627.79</v>
      </c>
      <c r="AD11" s="220">
        <v>0</v>
      </c>
      <c r="AE11" s="220">
        <v>0</v>
      </c>
      <c r="AF11" s="239">
        <f t="shared" si="2"/>
        <v>5133.01</v>
      </c>
      <c r="AG11" s="113">
        <f>AF11+V11+D11</f>
        <v>5179.012000000001</v>
      </c>
      <c r="AH11" s="114">
        <f t="shared" si="3"/>
        <v>1627.79</v>
      </c>
      <c r="AI11" s="114">
        <f t="shared" si="3"/>
        <v>0</v>
      </c>
      <c r="AJ11" s="146"/>
      <c r="AK11" s="102">
        <f t="shared" si="4"/>
        <v>251.98700000000002</v>
      </c>
      <c r="AL11" s="102">
        <f t="shared" si="5"/>
        <v>75.22000000000001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f>0.45*182</f>
        <v>81.9</v>
      </c>
      <c r="AU11" s="147"/>
      <c r="AV11" s="148"/>
      <c r="AW11" s="147"/>
      <c r="AX11" s="147">
        <f>33.84</f>
        <v>33.84</v>
      </c>
      <c r="AY11" s="102"/>
      <c r="AZ11" s="93"/>
      <c r="BA11" s="93"/>
      <c r="BB11" s="93">
        <f>AZ11*0.18</f>
        <v>0</v>
      </c>
      <c r="BC11" s="258">
        <f t="shared" si="6"/>
        <v>442.9470000000001</v>
      </c>
      <c r="BD11" s="149"/>
      <c r="BE11" s="94">
        <f>AG11-BC11</f>
        <v>4736.0650000000005</v>
      </c>
      <c r="BF11" s="30">
        <f>AF11-U11</f>
        <v>2194.1600000000003</v>
      </c>
      <c r="BG11" s="3"/>
      <c r="BH11" s="116"/>
    </row>
    <row r="12" spans="1:61" ht="12.75">
      <c r="A12" s="12" t="s">
        <v>47</v>
      </c>
      <c r="B12" s="142">
        <v>376.1</v>
      </c>
      <c r="C12" s="143">
        <f t="shared" si="0"/>
        <v>2927.9385</v>
      </c>
      <c r="D12" s="174">
        <v>46.002</v>
      </c>
      <c r="E12" s="220">
        <v>0</v>
      </c>
      <c r="F12" s="220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2667.22</v>
      </c>
      <c r="N12" s="144">
        <v>0</v>
      </c>
      <c r="O12" s="145">
        <v>271.63</v>
      </c>
      <c r="P12" s="235">
        <v>0</v>
      </c>
      <c r="Q12" s="213">
        <v>0</v>
      </c>
      <c r="R12" s="213">
        <v>0</v>
      </c>
      <c r="S12" s="241">
        <v>0</v>
      </c>
      <c r="T12" s="144">
        <v>0</v>
      </c>
      <c r="U12" s="144">
        <f t="shared" si="1"/>
        <v>2938.85</v>
      </c>
      <c r="V12" s="221">
        <f t="shared" si="1"/>
        <v>0</v>
      </c>
      <c r="W12" s="223">
        <v>119.35</v>
      </c>
      <c r="X12" s="220">
        <v>0</v>
      </c>
      <c r="Y12" s="144">
        <v>161.8</v>
      </c>
      <c r="Z12" s="144">
        <v>242.69</v>
      </c>
      <c r="AA12" s="144">
        <v>2576.05</v>
      </c>
      <c r="AB12" s="220">
        <v>312.65</v>
      </c>
      <c r="AC12" s="144">
        <v>1627.79</v>
      </c>
      <c r="AD12" s="220">
        <v>0</v>
      </c>
      <c r="AE12" s="144">
        <v>0</v>
      </c>
      <c r="AF12" s="256">
        <f t="shared" si="2"/>
        <v>5040.33</v>
      </c>
      <c r="AG12" s="113">
        <f>AF12+V12+D12</f>
        <v>5086.332</v>
      </c>
      <c r="AH12" s="114">
        <f t="shared" si="3"/>
        <v>1627.79</v>
      </c>
      <c r="AI12" s="150">
        <f t="shared" si="3"/>
        <v>0</v>
      </c>
      <c r="AJ12" s="146"/>
      <c r="AK12" s="102">
        <f t="shared" si="4"/>
        <v>251.98700000000002</v>
      </c>
      <c r="AL12" s="102">
        <f t="shared" si="5"/>
        <v>75.22000000000001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/>
      <c r="AU12" s="147"/>
      <c r="AV12" s="151"/>
      <c r="AW12" s="147"/>
      <c r="AX12" s="147"/>
      <c r="AY12" s="102"/>
      <c r="AZ12" s="93"/>
      <c r="BA12" s="93"/>
      <c r="BB12" s="93">
        <f>AZ12*0.18</f>
        <v>0</v>
      </c>
      <c r="BC12" s="258">
        <f t="shared" si="6"/>
        <v>327.20700000000005</v>
      </c>
      <c r="BD12" s="149"/>
      <c r="BE12" s="94">
        <f aca="true" t="shared" si="7" ref="BE12:BE18">AG12-BC12</f>
        <v>4759.125</v>
      </c>
      <c r="BF12" s="30">
        <f aca="true" t="shared" si="8" ref="BF12:BF18">AF12-U12</f>
        <v>2101.48</v>
      </c>
      <c r="BG12" s="3"/>
      <c r="BH12" s="115"/>
      <c r="BI12" s="116"/>
    </row>
    <row r="13" spans="1:62" ht="12.75">
      <c r="A13" s="12" t="s">
        <v>48</v>
      </c>
      <c r="B13" s="152">
        <v>373.1</v>
      </c>
      <c r="C13" s="143">
        <f t="shared" si="0"/>
        <v>2904.5835000000006</v>
      </c>
      <c r="D13" s="153">
        <v>46.002</v>
      </c>
      <c r="E13" s="234">
        <v>0</v>
      </c>
      <c r="F13" s="220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2646.01</v>
      </c>
      <c r="N13" s="144">
        <v>0</v>
      </c>
      <c r="O13" s="145">
        <v>269.47</v>
      </c>
      <c r="P13" s="235">
        <v>0</v>
      </c>
      <c r="Q13" s="235">
        <v>0</v>
      </c>
      <c r="R13" s="235">
        <v>0</v>
      </c>
      <c r="S13" s="236">
        <v>0</v>
      </c>
      <c r="T13" s="237">
        <v>0</v>
      </c>
      <c r="U13" s="238">
        <f t="shared" si="1"/>
        <v>2915.4800000000005</v>
      </c>
      <c r="V13" s="221">
        <f t="shared" si="1"/>
        <v>0</v>
      </c>
      <c r="W13" s="144">
        <v>0</v>
      </c>
      <c r="X13" s="220"/>
      <c r="Y13" s="144">
        <v>0</v>
      </c>
      <c r="Z13" s="144">
        <v>0</v>
      </c>
      <c r="AA13" s="144">
        <v>629.08</v>
      </c>
      <c r="AB13" s="220">
        <v>64.06</v>
      </c>
      <c r="AC13" s="144">
        <v>0</v>
      </c>
      <c r="AD13" s="220">
        <v>0</v>
      </c>
      <c r="AE13" s="220">
        <v>0</v>
      </c>
      <c r="AF13" s="239">
        <f t="shared" si="2"/>
        <v>693.1400000000001</v>
      </c>
      <c r="AG13" s="208">
        <f>AF13+V13+D13</f>
        <v>739.142</v>
      </c>
      <c r="AH13" s="154">
        <f t="shared" si="3"/>
        <v>0</v>
      </c>
      <c r="AI13" s="154">
        <f t="shared" si="3"/>
        <v>0</v>
      </c>
      <c r="AJ13" s="155"/>
      <c r="AK13" s="211">
        <f t="shared" si="4"/>
        <v>249.97700000000003</v>
      </c>
      <c r="AL13" s="211">
        <f t="shared" si="5"/>
        <v>74.62</v>
      </c>
      <c r="AM13" s="211">
        <v>0</v>
      </c>
      <c r="AN13" s="211">
        <v>0</v>
      </c>
      <c r="AO13" s="211">
        <v>0</v>
      </c>
      <c r="AP13" s="211">
        <v>0</v>
      </c>
      <c r="AQ13" s="102">
        <v>0</v>
      </c>
      <c r="AR13" s="211">
        <v>0</v>
      </c>
      <c r="AS13" s="102"/>
      <c r="AT13" s="156"/>
      <c r="AU13" s="157"/>
      <c r="AV13" s="157"/>
      <c r="AW13" s="157"/>
      <c r="AX13" s="157"/>
      <c r="AY13" s="102"/>
      <c r="AZ13" s="157"/>
      <c r="BA13" s="157"/>
      <c r="BB13" s="157"/>
      <c r="BC13" s="259">
        <f t="shared" si="6"/>
        <v>324.59700000000004</v>
      </c>
      <c r="BD13" s="159"/>
      <c r="BE13" s="94">
        <f t="shared" si="7"/>
        <v>414.545</v>
      </c>
      <c r="BF13" s="30">
        <f t="shared" si="8"/>
        <v>-2222.34</v>
      </c>
      <c r="BG13" s="3"/>
      <c r="BH13" s="3"/>
      <c r="BI13" s="115"/>
      <c r="BJ13" s="116"/>
    </row>
    <row r="14" spans="1:62" ht="12.75">
      <c r="A14" s="12" t="s">
        <v>49</v>
      </c>
      <c r="B14" s="129">
        <v>373.1</v>
      </c>
      <c r="C14" s="143">
        <f t="shared" si="0"/>
        <v>2904.5835000000006</v>
      </c>
      <c r="D14" s="153">
        <v>46.002</v>
      </c>
      <c r="E14" s="240">
        <v>0</v>
      </c>
      <c r="F14" s="220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2646.01</v>
      </c>
      <c r="N14" s="144">
        <v>0</v>
      </c>
      <c r="O14" s="145">
        <v>269.47</v>
      </c>
      <c r="P14" s="235">
        <v>0</v>
      </c>
      <c r="Q14" s="241">
        <v>0</v>
      </c>
      <c r="R14" s="220">
        <v>0</v>
      </c>
      <c r="S14" s="241">
        <v>0</v>
      </c>
      <c r="T14" s="220">
        <v>0</v>
      </c>
      <c r="U14" s="234">
        <f t="shared" si="1"/>
        <v>2915.4800000000005</v>
      </c>
      <c r="V14" s="242">
        <f>F14+H14+J14+L14+N14++R14+T14</f>
        <v>0</v>
      </c>
      <c r="W14" s="144">
        <v>111.62</v>
      </c>
      <c r="X14" s="220">
        <v>0</v>
      </c>
      <c r="Y14" s="144">
        <v>42.15</v>
      </c>
      <c r="Z14" s="144">
        <v>226.96</v>
      </c>
      <c r="AA14" s="144">
        <v>3768.02</v>
      </c>
      <c r="AB14" s="220">
        <v>439.66</v>
      </c>
      <c r="AC14" s="144">
        <v>137.24</v>
      </c>
      <c r="AD14" s="220">
        <v>0</v>
      </c>
      <c r="AE14" s="239">
        <v>0</v>
      </c>
      <c r="AF14" s="243">
        <f t="shared" si="2"/>
        <v>4725.65</v>
      </c>
      <c r="AG14" s="208">
        <f aca="true" t="shared" si="9" ref="AG14:AG21">D14+V14+AF14</f>
        <v>4771.652</v>
      </c>
      <c r="AH14" s="209">
        <f t="shared" si="3"/>
        <v>137.24</v>
      </c>
      <c r="AI14" s="209">
        <f t="shared" si="3"/>
        <v>0</v>
      </c>
      <c r="AJ14" s="244"/>
      <c r="AK14" s="102">
        <f t="shared" si="4"/>
        <v>249.97700000000003</v>
      </c>
      <c r="AL14" s="102">
        <f t="shared" si="5"/>
        <v>74.62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211">
        <v>0</v>
      </c>
      <c r="AS14" s="102"/>
      <c r="AT14" s="156"/>
      <c r="AU14" s="214"/>
      <c r="AV14" s="214"/>
      <c r="AW14" s="214"/>
      <c r="AX14" s="214"/>
      <c r="AY14" s="102"/>
      <c r="AZ14" s="157"/>
      <c r="BA14" s="157"/>
      <c r="BB14" s="157"/>
      <c r="BC14" s="158">
        <f t="shared" si="6"/>
        <v>324.59700000000004</v>
      </c>
      <c r="BD14" s="159"/>
      <c r="BE14" s="94">
        <f t="shared" si="7"/>
        <v>4447.055</v>
      </c>
      <c r="BF14" s="30">
        <f t="shared" si="8"/>
        <v>1810.1699999999992</v>
      </c>
      <c r="BG14" s="3"/>
      <c r="BH14" s="3"/>
      <c r="BI14" s="115"/>
      <c r="BJ14" s="116"/>
    </row>
    <row r="15" spans="1:62" ht="12.75">
      <c r="A15" s="12" t="s">
        <v>50</v>
      </c>
      <c r="B15" s="206">
        <v>373.1</v>
      </c>
      <c r="C15" s="96">
        <f t="shared" si="0"/>
        <v>2904.5835000000006</v>
      </c>
      <c r="D15" s="260">
        <v>46.002</v>
      </c>
      <c r="E15" s="130">
        <v>0</v>
      </c>
      <c r="F15" s="130"/>
      <c r="G15" s="130"/>
      <c r="H15" s="130"/>
      <c r="I15" s="138">
        <v>0</v>
      </c>
      <c r="J15" s="138"/>
      <c r="K15" s="138">
        <v>0</v>
      </c>
      <c r="L15" s="138"/>
      <c r="M15" s="138">
        <v>2646.01</v>
      </c>
      <c r="N15" s="138"/>
      <c r="O15" s="138">
        <v>269.47</v>
      </c>
      <c r="P15" s="138"/>
      <c r="Q15" s="138">
        <v>0</v>
      </c>
      <c r="R15" s="139"/>
      <c r="S15" s="139">
        <v>0</v>
      </c>
      <c r="T15" s="138"/>
      <c r="U15" s="140">
        <f t="shared" si="1"/>
        <v>2915.4800000000005</v>
      </c>
      <c r="V15" s="141">
        <f t="shared" si="1"/>
        <v>0</v>
      </c>
      <c r="W15" s="132">
        <v>0</v>
      </c>
      <c r="X15" s="130">
        <v>0</v>
      </c>
      <c r="Y15" s="130">
        <v>0</v>
      </c>
      <c r="Z15" s="130">
        <v>0</v>
      </c>
      <c r="AA15" s="130">
        <v>1477.48</v>
      </c>
      <c r="AB15" s="130">
        <v>150.48</v>
      </c>
      <c r="AC15" s="160">
        <v>0</v>
      </c>
      <c r="AD15" s="130">
        <v>0</v>
      </c>
      <c r="AE15" s="131">
        <v>0</v>
      </c>
      <c r="AF15" s="133">
        <f t="shared" si="2"/>
        <v>1627.96</v>
      </c>
      <c r="AG15" s="208">
        <f t="shared" si="9"/>
        <v>1673.962</v>
      </c>
      <c r="AH15" s="209">
        <f t="shared" si="3"/>
        <v>0</v>
      </c>
      <c r="AI15" s="209">
        <f t="shared" si="3"/>
        <v>0</v>
      </c>
      <c r="AJ15" s="244"/>
      <c r="AK15" s="211">
        <f t="shared" si="4"/>
        <v>249.97700000000003</v>
      </c>
      <c r="AL15" s="211">
        <f t="shared" si="5"/>
        <v>74.62</v>
      </c>
      <c r="AM15" s="211">
        <v>0</v>
      </c>
      <c r="AN15" s="211">
        <v>0</v>
      </c>
      <c r="AO15" s="211">
        <v>0</v>
      </c>
      <c r="AP15" s="211">
        <v>0</v>
      </c>
      <c r="AQ15" s="211">
        <v>0</v>
      </c>
      <c r="AR15" s="211">
        <v>0</v>
      </c>
      <c r="AS15" s="211"/>
      <c r="AT15" s="213"/>
      <c r="AU15" s="145"/>
      <c r="AV15" s="145"/>
      <c r="AW15" s="145"/>
      <c r="AX15" s="145"/>
      <c r="AY15" s="211"/>
      <c r="AZ15" s="145"/>
      <c r="BA15" s="145"/>
      <c r="BB15" s="145"/>
      <c r="BC15" s="245">
        <f t="shared" si="6"/>
        <v>324.59700000000004</v>
      </c>
      <c r="BD15" s="159"/>
      <c r="BE15" s="94">
        <f t="shared" si="7"/>
        <v>1349.365</v>
      </c>
      <c r="BF15" s="30">
        <f t="shared" si="8"/>
        <v>-1287.5200000000004</v>
      </c>
      <c r="BG15" s="3"/>
      <c r="BH15" s="3"/>
      <c r="BI15" s="115"/>
      <c r="BJ15" s="116"/>
    </row>
    <row r="16" spans="1:60" ht="12.75">
      <c r="A16" s="12" t="s">
        <v>51</v>
      </c>
      <c r="B16" s="206">
        <v>373.1</v>
      </c>
      <c r="C16" s="143">
        <f t="shared" si="0"/>
        <v>2904.5835000000006</v>
      </c>
      <c r="D16" s="153">
        <v>46.002</v>
      </c>
      <c r="E16" s="161"/>
      <c r="F16" s="161"/>
      <c r="G16" s="161"/>
      <c r="H16" s="161"/>
      <c r="I16" s="161"/>
      <c r="J16" s="161"/>
      <c r="K16" s="161"/>
      <c r="L16" s="161"/>
      <c r="M16" s="161">
        <v>2646.01</v>
      </c>
      <c r="N16" s="161"/>
      <c r="O16" s="161">
        <v>269.47</v>
      </c>
      <c r="P16" s="161"/>
      <c r="Q16" s="161"/>
      <c r="R16" s="161"/>
      <c r="S16" s="162"/>
      <c r="T16" s="132"/>
      <c r="U16" s="163">
        <f t="shared" si="1"/>
        <v>2915.4800000000005</v>
      </c>
      <c r="V16" s="164">
        <f t="shared" si="1"/>
        <v>0</v>
      </c>
      <c r="W16" s="165">
        <v>0</v>
      </c>
      <c r="X16" s="161">
        <v>0</v>
      </c>
      <c r="Y16" s="161">
        <v>0</v>
      </c>
      <c r="Z16" s="161">
        <v>0</v>
      </c>
      <c r="AA16" s="161">
        <v>595.42</v>
      </c>
      <c r="AB16" s="161">
        <v>60.63</v>
      </c>
      <c r="AC16" s="160"/>
      <c r="AD16" s="161"/>
      <c r="AE16" s="162"/>
      <c r="AF16" s="133">
        <f t="shared" si="2"/>
        <v>656.05</v>
      </c>
      <c r="AG16" s="166">
        <f t="shared" si="9"/>
        <v>702.0519999999999</v>
      </c>
      <c r="AH16" s="209">
        <f t="shared" si="3"/>
        <v>0</v>
      </c>
      <c r="AI16" s="209">
        <f t="shared" si="3"/>
        <v>0</v>
      </c>
      <c r="AJ16" s="210"/>
      <c r="AK16" s="211">
        <f t="shared" si="4"/>
        <v>249.97700000000003</v>
      </c>
      <c r="AL16" s="211">
        <f t="shared" si="5"/>
        <v>74.62</v>
      </c>
      <c r="AM16" s="212">
        <v>0</v>
      </c>
      <c r="AN16" s="212">
        <v>0</v>
      </c>
      <c r="AO16" s="212">
        <v>0</v>
      </c>
      <c r="AP16" s="212">
        <v>0</v>
      </c>
      <c r="AQ16" s="212">
        <v>0</v>
      </c>
      <c r="AR16" s="212">
        <v>0</v>
      </c>
      <c r="AS16" s="102"/>
      <c r="AT16" s="213"/>
      <c r="AU16" s="214"/>
      <c r="AV16" s="214"/>
      <c r="AW16" s="214"/>
      <c r="AX16" s="214"/>
      <c r="AY16" s="102"/>
      <c r="AZ16" s="157"/>
      <c r="BA16" s="157"/>
      <c r="BB16" s="157"/>
      <c r="BC16" s="158">
        <f t="shared" si="6"/>
        <v>324.59700000000004</v>
      </c>
      <c r="BD16" s="167"/>
      <c r="BE16" s="94">
        <f t="shared" si="7"/>
        <v>377.45499999999987</v>
      </c>
      <c r="BF16" s="30">
        <f t="shared" si="8"/>
        <v>-2259.4300000000003</v>
      </c>
      <c r="BG16" s="3"/>
      <c r="BH16" s="115"/>
    </row>
    <row r="17" spans="1:60" ht="12.75">
      <c r="A17" s="12" t="s">
        <v>52</v>
      </c>
      <c r="B17" s="206">
        <v>373.1</v>
      </c>
      <c r="C17" s="143">
        <f t="shared" si="0"/>
        <v>2904.5835000000006</v>
      </c>
      <c r="D17" s="153">
        <v>46.002</v>
      </c>
      <c r="E17" s="161"/>
      <c r="F17" s="161"/>
      <c r="G17" s="161"/>
      <c r="H17" s="161"/>
      <c r="I17" s="161"/>
      <c r="J17" s="161"/>
      <c r="K17" s="161"/>
      <c r="L17" s="161"/>
      <c r="M17" s="161">
        <v>2646.01</v>
      </c>
      <c r="N17" s="161"/>
      <c r="O17" s="161">
        <v>269.47</v>
      </c>
      <c r="P17" s="161"/>
      <c r="Q17" s="161"/>
      <c r="R17" s="161"/>
      <c r="S17" s="162"/>
      <c r="T17" s="131"/>
      <c r="U17" s="261">
        <f t="shared" si="1"/>
        <v>2915.4800000000005</v>
      </c>
      <c r="V17" s="168">
        <f t="shared" si="1"/>
        <v>0</v>
      </c>
      <c r="W17" s="161">
        <v>0</v>
      </c>
      <c r="X17" s="161">
        <v>0</v>
      </c>
      <c r="Y17" s="161">
        <v>0</v>
      </c>
      <c r="Z17" s="161">
        <v>0</v>
      </c>
      <c r="AA17" s="161">
        <v>2965.07</v>
      </c>
      <c r="AB17" s="161">
        <v>301.98</v>
      </c>
      <c r="AC17" s="161"/>
      <c r="AD17" s="161"/>
      <c r="AE17" s="162"/>
      <c r="AF17" s="133">
        <f t="shared" si="2"/>
        <v>3267.05</v>
      </c>
      <c r="AG17" s="166">
        <f t="shared" si="9"/>
        <v>3313.052</v>
      </c>
      <c r="AH17" s="209">
        <f t="shared" si="3"/>
        <v>0</v>
      </c>
      <c r="AI17" s="209">
        <f t="shared" si="3"/>
        <v>0</v>
      </c>
      <c r="AJ17" s="210"/>
      <c r="AK17" s="211">
        <f t="shared" si="4"/>
        <v>249.97700000000003</v>
      </c>
      <c r="AL17" s="211">
        <f t="shared" si="5"/>
        <v>74.62</v>
      </c>
      <c r="AM17" s="211">
        <v>0</v>
      </c>
      <c r="AN17" s="211">
        <v>0</v>
      </c>
      <c r="AO17" s="211">
        <v>0</v>
      </c>
      <c r="AP17" s="211">
        <v>0</v>
      </c>
      <c r="AQ17" s="211">
        <v>0</v>
      </c>
      <c r="AR17" s="211">
        <v>0</v>
      </c>
      <c r="AS17" s="102"/>
      <c r="AT17" s="213"/>
      <c r="AU17" s="214"/>
      <c r="AV17" s="214"/>
      <c r="AW17" s="214"/>
      <c r="AX17" s="214"/>
      <c r="AY17" s="102"/>
      <c r="AZ17" s="157"/>
      <c r="BA17" s="157"/>
      <c r="BB17" s="157"/>
      <c r="BC17" s="158">
        <f t="shared" si="6"/>
        <v>324.59700000000004</v>
      </c>
      <c r="BD17" s="167"/>
      <c r="BE17" s="94">
        <f t="shared" si="7"/>
        <v>2988.455</v>
      </c>
      <c r="BF17" s="30">
        <f t="shared" si="8"/>
        <v>351.5699999999997</v>
      </c>
      <c r="BG17" s="3"/>
      <c r="BH17" s="115"/>
    </row>
    <row r="18" spans="1:60" ht="12.75">
      <c r="A18" s="12" t="s">
        <v>53</v>
      </c>
      <c r="B18" s="206">
        <v>373.1</v>
      </c>
      <c r="C18" s="143">
        <f>B18*8.65</f>
        <v>3227.3150000000005</v>
      </c>
      <c r="D18" s="153">
        <v>0</v>
      </c>
      <c r="E18" s="161"/>
      <c r="F18" s="161"/>
      <c r="G18" s="161"/>
      <c r="H18" s="161"/>
      <c r="I18" s="161"/>
      <c r="J18" s="161"/>
      <c r="K18" s="161"/>
      <c r="L18" s="161"/>
      <c r="M18" s="161">
        <v>2928.87</v>
      </c>
      <c r="N18" s="161"/>
      <c r="O18" s="161">
        <v>298.48</v>
      </c>
      <c r="P18" s="161"/>
      <c r="Q18" s="161"/>
      <c r="R18" s="161"/>
      <c r="S18" s="162"/>
      <c r="T18" s="232"/>
      <c r="U18" s="232">
        <f aca="true" t="shared" si="10" ref="U18:V21">E18+G18+I18+K18+M18+O18+Q18+S18</f>
        <v>3227.35</v>
      </c>
      <c r="V18" s="233">
        <f t="shared" si="10"/>
        <v>0</v>
      </c>
      <c r="W18" s="161">
        <v>6.59</v>
      </c>
      <c r="X18" s="161">
        <v>0</v>
      </c>
      <c r="Y18" s="161">
        <v>2.49</v>
      </c>
      <c r="Z18" s="161">
        <v>13.39</v>
      </c>
      <c r="AA18" s="161">
        <v>2019.94</v>
      </c>
      <c r="AB18" s="161">
        <v>209</v>
      </c>
      <c r="AC18" s="161">
        <v>8.1</v>
      </c>
      <c r="AD18" s="161"/>
      <c r="AE18" s="162"/>
      <c r="AF18" s="133">
        <f t="shared" si="2"/>
        <v>2259.5099999999998</v>
      </c>
      <c r="AG18" s="166">
        <f t="shared" si="9"/>
        <v>2259.5099999999998</v>
      </c>
      <c r="AH18" s="209">
        <f aca="true" t="shared" si="11" ref="AH18:AI21">AC18</f>
        <v>8.1</v>
      </c>
      <c r="AI18" s="209">
        <f t="shared" si="11"/>
        <v>0</v>
      </c>
      <c r="AJ18" s="210"/>
      <c r="AK18" s="211">
        <f>0.67*B18</f>
        <v>249.97700000000003</v>
      </c>
      <c r="AL18" s="211">
        <f>B18*0.2</f>
        <v>74.62</v>
      </c>
      <c r="AM18" s="211">
        <v>0</v>
      </c>
      <c r="AN18" s="211">
        <v>0</v>
      </c>
      <c r="AO18" s="211">
        <v>0</v>
      </c>
      <c r="AP18" s="211">
        <v>0</v>
      </c>
      <c r="AQ18" s="211">
        <v>0</v>
      </c>
      <c r="AR18" s="211">
        <v>0</v>
      </c>
      <c r="AS18" s="102"/>
      <c r="AT18" s="213"/>
      <c r="AU18" s="214"/>
      <c r="AV18" s="214"/>
      <c r="AW18" s="214"/>
      <c r="AX18" s="214"/>
      <c r="AY18" s="102"/>
      <c r="AZ18" s="157"/>
      <c r="BA18" s="157"/>
      <c r="BB18" s="157"/>
      <c r="BC18" s="259">
        <f t="shared" si="6"/>
        <v>324.59700000000004</v>
      </c>
      <c r="BD18" s="167"/>
      <c r="BE18" s="94">
        <f t="shared" si="7"/>
        <v>1934.9129999999998</v>
      </c>
      <c r="BF18" s="30">
        <f t="shared" si="8"/>
        <v>-967.8400000000001</v>
      </c>
      <c r="BG18" s="3"/>
      <c r="BH18" s="116"/>
    </row>
    <row r="19" spans="1:59" ht="12.75">
      <c r="A19" s="12" t="s">
        <v>41</v>
      </c>
      <c r="B19" s="65">
        <v>373.1</v>
      </c>
      <c r="C19" s="96">
        <f>B19*8.65</f>
        <v>3227.3150000000005</v>
      </c>
      <c r="D19" s="193">
        <v>0</v>
      </c>
      <c r="E19" s="130"/>
      <c r="F19" s="130"/>
      <c r="G19" s="130">
        <v>0</v>
      </c>
      <c r="H19" s="130"/>
      <c r="I19" s="130"/>
      <c r="J19" s="130"/>
      <c r="K19" s="130"/>
      <c r="L19" s="130"/>
      <c r="M19" s="130">
        <v>2928.87</v>
      </c>
      <c r="N19" s="130"/>
      <c r="O19" s="130">
        <v>298.48</v>
      </c>
      <c r="P19" s="130"/>
      <c r="Q19" s="130"/>
      <c r="R19" s="130"/>
      <c r="S19" s="131"/>
      <c r="T19" s="201"/>
      <c r="U19" s="204">
        <f t="shared" si="10"/>
        <v>3227.35</v>
      </c>
      <c r="V19" s="205">
        <f t="shared" si="10"/>
        <v>0</v>
      </c>
      <c r="W19" s="130">
        <v>0</v>
      </c>
      <c r="X19" s="130">
        <v>0</v>
      </c>
      <c r="Y19" s="130">
        <v>0</v>
      </c>
      <c r="Z19" s="130">
        <v>0</v>
      </c>
      <c r="AA19" s="130">
        <v>1660.99</v>
      </c>
      <c r="AB19" s="130">
        <v>169.28</v>
      </c>
      <c r="AC19" s="130"/>
      <c r="AD19" s="130"/>
      <c r="AE19" s="131"/>
      <c r="AF19" s="191">
        <f t="shared" si="2"/>
        <v>1830.27</v>
      </c>
      <c r="AG19" s="192">
        <f t="shared" si="9"/>
        <v>1830.27</v>
      </c>
      <c r="AH19" s="187">
        <f t="shared" si="11"/>
        <v>0</v>
      </c>
      <c r="AI19" s="187">
        <f t="shared" si="11"/>
        <v>0</v>
      </c>
      <c r="AJ19" s="188"/>
      <c r="AK19" s="30">
        <f>0.67*B19</f>
        <v>249.97700000000003</v>
      </c>
      <c r="AL19" s="30">
        <f>B19*0.2</f>
        <v>74.62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/>
      <c r="AT19" s="189"/>
      <c r="AU19" s="190"/>
      <c r="AV19" s="190"/>
      <c r="AW19" s="190"/>
      <c r="AX19" s="190"/>
      <c r="AY19" s="30"/>
      <c r="AZ19" s="64"/>
      <c r="BA19" s="64"/>
      <c r="BB19" s="157"/>
      <c r="BC19" s="258">
        <f t="shared" si="6"/>
        <v>324.59700000000004</v>
      </c>
      <c r="BD19" s="167"/>
      <c r="BE19" s="94">
        <f>AG19-BC19</f>
        <v>1505.673</v>
      </c>
      <c r="BF19" s="30">
        <f>AF19-U19</f>
        <v>-1397.08</v>
      </c>
      <c r="BG19" s="115"/>
    </row>
    <row r="20" spans="1:60" ht="12.75">
      <c r="A20" s="12" t="s">
        <v>42</v>
      </c>
      <c r="B20" s="206">
        <v>373.1</v>
      </c>
      <c r="C20" s="96">
        <f>B20*3</f>
        <v>1119.3000000000002</v>
      </c>
      <c r="D20" s="207">
        <v>0</v>
      </c>
      <c r="E20" s="130"/>
      <c r="F20" s="130"/>
      <c r="G20" s="130"/>
      <c r="H20" s="130"/>
      <c r="I20" s="130"/>
      <c r="J20" s="130"/>
      <c r="K20" s="130"/>
      <c r="L20" s="130"/>
      <c r="M20" s="130">
        <v>746.2</v>
      </c>
      <c r="N20" s="130"/>
      <c r="O20" s="130">
        <v>373.1</v>
      </c>
      <c r="P20" s="130"/>
      <c r="Q20" s="130"/>
      <c r="R20" s="130"/>
      <c r="S20" s="131"/>
      <c r="T20" s="201"/>
      <c r="U20" s="204">
        <f t="shared" si="10"/>
        <v>1119.3000000000002</v>
      </c>
      <c r="V20" s="205">
        <f t="shared" si="10"/>
        <v>0</v>
      </c>
      <c r="W20" s="130">
        <v>0</v>
      </c>
      <c r="X20" s="130">
        <v>0</v>
      </c>
      <c r="Y20" s="130">
        <v>0</v>
      </c>
      <c r="Z20" s="130">
        <v>0</v>
      </c>
      <c r="AA20" s="130">
        <v>1100.7</v>
      </c>
      <c r="AB20" s="130">
        <v>144.58</v>
      </c>
      <c r="AC20" s="130"/>
      <c r="AD20" s="130"/>
      <c r="AE20" s="131"/>
      <c r="AF20" s="133">
        <f t="shared" si="2"/>
        <v>1245.28</v>
      </c>
      <c r="AG20" s="208">
        <f t="shared" si="9"/>
        <v>1245.28</v>
      </c>
      <c r="AH20" s="209">
        <f t="shared" si="11"/>
        <v>0</v>
      </c>
      <c r="AI20" s="209">
        <f t="shared" si="11"/>
        <v>0</v>
      </c>
      <c r="AJ20" s="210"/>
      <c r="AK20" s="211">
        <f>0.67*B20</f>
        <v>249.97700000000003</v>
      </c>
      <c r="AL20" s="211">
        <f>B20*0.2</f>
        <v>74.62</v>
      </c>
      <c r="AM20" s="212">
        <v>0</v>
      </c>
      <c r="AN20" s="212">
        <v>0</v>
      </c>
      <c r="AO20" s="212">
        <v>0</v>
      </c>
      <c r="AP20" s="212">
        <v>0</v>
      </c>
      <c r="AQ20" s="212">
        <v>0</v>
      </c>
      <c r="AR20" s="212">
        <v>0</v>
      </c>
      <c r="AS20" s="212">
        <v>0</v>
      </c>
      <c r="AT20" s="213"/>
      <c r="AU20" s="214"/>
      <c r="AV20" s="214"/>
      <c r="AW20" s="214"/>
      <c r="AX20" s="214"/>
      <c r="AY20" s="211"/>
      <c r="AZ20" s="145"/>
      <c r="BA20" s="145"/>
      <c r="BB20" s="145"/>
      <c r="BC20" s="258">
        <f t="shared" si="6"/>
        <v>324.59700000000004</v>
      </c>
      <c r="BD20" s="167"/>
      <c r="BE20" s="94">
        <f>AG20-BC20</f>
        <v>920.683</v>
      </c>
      <c r="BF20" s="30">
        <f>AF20-U20</f>
        <v>125.97999999999979</v>
      </c>
      <c r="BG20" s="3"/>
      <c r="BH20" s="116"/>
    </row>
    <row r="21" spans="1:60" ht="13.5" thickBot="1">
      <c r="A21" s="12" t="s">
        <v>43</v>
      </c>
      <c r="B21" s="206">
        <v>373.1</v>
      </c>
      <c r="C21" s="96">
        <f>B21*3</f>
        <v>1119.3000000000002</v>
      </c>
      <c r="D21" s="207">
        <v>0</v>
      </c>
      <c r="E21" s="215"/>
      <c r="F21" s="215"/>
      <c r="G21" s="215"/>
      <c r="H21" s="215"/>
      <c r="I21" s="215"/>
      <c r="J21" s="215"/>
      <c r="K21" s="215"/>
      <c r="L21" s="215"/>
      <c r="M21" s="215">
        <v>746.2</v>
      </c>
      <c r="N21" s="215"/>
      <c r="O21" s="215">
        <v>373.1</v>
      </c>
      <c r="P21" s="215"/>
      <c r="Q21" s="215"/>
      <c r="R21" s="215"/>
      <c r="S21" s="216"/>
      <c r="T21" s="217"/>
      <c r="U21" s="204">
        <f t="shared" si="10"/>
        <v>1119.3000000000002</v>
      </c>
      <c r="V21" s="205">
        <f t="shared" si="10"/>
        <v>0</v>
      </c>
      <c r="W21" s="130">
        <v>0</v>
      </c>
      <c r="X21" s="130">
        <v>0</v>
      </c>
      <c r="Y21" s="130">
        <v>0</v>
      </c>
      <c r="Z21" s="130">
        <v>0</v>
      </c>
      <c r="AA21" s="130">
        <v>1459.16</v>
      </c>
      <c r="AB21" s="130">
        <v>341.42</v>
      </c>
      <c r="AC21" s="130"/>
      <c r="AD21" s="130"/>
      <c r="AE21" s="131"/>
      <c r="AF21" s="133">
        <f t="shared" si="2"/>
        <v>1800.5800000000002</v>
      </c>
      <c r="AG21" s="208">
        <f t="shared" si="9"/>
        <v>1800.5800000000002</v>
      </c>
      <c r="AH21" s="209">
        <f t="shared" si="11"/>
        <v>0</v>
      </c>
      <c r="AI21" s="209">
        <f t="shared" si="11"/>
        <v>0</v>
      </c>
      <c r="AJ21" s="210"/>
      <c r="AK21" s="211">
        <f>0.67*B21</f>
        <v>249.97700000000003</v>
      </c>
      <c r="AL21" s="211">
        <f>B21*0.2</f>
        <v>74.62</v>
      </c>
      <c r="AM21" s="212">
        <v>0</v>
      </c>
      <c r="AN21" s="212">
        <v>0</v>
      </c>
      <c r="AO21" s="212">
        <v>0</v>
      </c>
      <c r="AP21" s="212">
        <v>0</v>
      </c>
      <c r="AQ21" s="212">
        <v>0</v>
      </c>
      <c r="AR21" s="212">
        <v>0</v>
      </c>
      <c r="AS21" s="212">
        <v>0</v>
      </c>
      <c r="AT21" s="213"/>
      <c r="AU21" s="214"/>
      <c r="AV21" s="214"/>
      <c r="AW21" s="214"/>
      <c r="AX21" s="214"/>
      <c r="AY21" s="211"/>
      <c r="AZ21" s="145"/>
      <c r="BA21" s="145"/>
      <c r="BB21" s="145"/>
      <c r="BC21" s="258">
        <f t="shared" si="6"/>
        <v>324.59700000000004</v>
      </c>
      <c r="BD21" s="167"/>
      <c r="BE21" s="94">
        <f>AG21-BC21</f>
        <v>1475.9830000000002</v>
      </c>
      <c r="BF21" s="30">
        <f>AF21-U21</f>
        <v>681.28</v>
      </c>
      <c r="BG21" s="3"/>
      <c r="BH21" s="116"/>
    </row>
    <row r="22" spans="1:58" s="27" customFormat="1" ht="13.5" thickBot="1">
      <c r="A22" s="103" t="s">
        <v>5</v>
      </c>
      <c r="B22" s="117"/>
      <c r="C22" s="118">
        <f aca="true" t="shared" si="12" ref="C22:BD22">SUM(C10:C21)</f>
        <v>31999.963000000003</v>
      </c>
      <c r="D22" s="118">
        <f t="shared" si="12"/>
        <v>368.016</v>
      </c>
      <c r="E22" s="118">
        <f t="shared" si="12"/>
        <v>0</v>
      </c>
      <c r="F22" s="118">
        <f t="shared" si="12"/>
        <v>0</v>
      </c>
      <c r="G22" s="118">
        <f t="shared" si="12"/>
        <v>0</v>
      </c>
      <c r="H22" s="118">
        <f t="shared" si="12"/>
        <v>0</v>
      </c>
      <c r="I22" s="118">
        <f t="shared" si="12"/>
        <v>0</v>
      </c>
      <c r="J22" s="118">
        <f t="shared" si="12"/>
        <v>0</v>
      </c>
      <c r="K22" s="118">
        <f t="shared" si="12"/>
        <v>0</v>
      </c>
      <c r="L22" s="118">
        <f t="shared" si="12"/>
        <v>0</v>
      </c>
      <c r="M22" s="118">
        <f t="shared" si="12"/>
        <v>28581.85</v>
      </c>
      <c r="N22" s="118">
        <f t="shared" si="12"/>
        <v>0</v>
      </c>
      <c r="O22" s="118">
        <f t="shared" si="12"/>
        <v>3505.4</v>
      </c>
      <c r="P22" s="118">
        <f t="shared" si="12"/>
        <v>0</v>
      </c>
      <c r="Q22" s="118">
        <f t="shared" si="12"/>
        <v>0</v>
      </c>
      <c r="R22" s="118">
        <f t="shared" si="12"/>
        <v>0</v>
      </c>
      <c r="S22" s="118">
        <f t="shared" si="12"/>
        <v>0</v>
      </c>
      <c r="T22" s="118">
        <f t="shared" si="12"/>
        <v>0</v>
      </c>
      <c r="U22" s="118">
        <f>SUM(U10:U21)</f>
        <v>32087.249999999993</v>
      </c>
      <c r="V22" s="118">
        <f t="shared" si="12"/>
        <v>0</v>
      </c>
      <c r="W22" s="118">
        <f t="shared" si="12"/>
        <v>379.40999999999997</v>
      </c>
      <c r="X22" s="118">
        <f t="shared" si="12"/>
        <v>0</v>
      </c>
      <c r="Y22" s="118">
        <f t="shared" si="12"/>
        <v>398.76</v>
      </c>
      <c r="Z22" s="118">
        <f t="shared" si="12"/>
        <v>771.5100000000001</v>
      </c>
      <c r="AA22" s="118">
        <f t="shared" si="12"/>
        <v>21592.2</v>
      </c>
      <c r="AB22" s="118">
        <f t="shared" si="12"/>
        <v>2605.67</v>
      </c>
      <c r="AC22" s="118">
        <f t="shared" si="12"/>
        <v>3103.69</v>
      </c>
      <c r="AD22" s="118">
        <f t="shared" si="12"/>
        <v>0</v>
      </c>
      <c r="AE22" s="118">
        <f t="shared" si="12"/>
        <v>0</v>
      </c>
      <c r="AF22" s="118">
        <f>SUM(AF10:AF21)</f>
        <v>28851.239999999998</v>
      </c>
      <c r="AG22" s="118">
        <f>SUM(AG10:AG21)</f>
        <v>29219.256</v>
      </c>
      <c r="AH22" s="118">
        <f t="shared" si="12"/>
        <v>3103.69</v>
      </c>
      <c r="AI22" s="118">
        <f t="shared" si="12"/>
        <v>0</v>
      </c>
      <c r="AJ22" s="118">
        <f t="shared" si="12"/>
        <v>0</v>
      </c>
      <c r="AK22" s="118">
        <f t="shared" si="12"/>
        <v>3005.754</v>
      </c>
      <c r="AL22" s="118">
        <f t="shared" si="12"/>
        <v>897.2400000000001</v>
      </c>
      <c r="AM22" s="118">
        <f t="shared" si="12"/>
        <v>0</v>
      </c>
      <c r="AN22" s="118">
        <f t="shared" si="12"/>
        <v>0</v>
      </c>
      <c r="AO22" s="118">
        <f t="shared" si="12"/>
        <v>0</v>
      </c>
      <c r="AP22" s="118">
        <f t="shared" si="12"/>
        <v>0</v>
      </c>
      <c r="AQ22" s="118">
        <f t="shared" si="12"/>
        <v>0</v>
      </c>
      <c r="AR22" s="118">
        <f t="shared" si="12"/>
        <v>0</v>
      </c>
      <c r="AS22" s="118">
        <f t="shared" si="12"/>
        <v>0</v>
      </c>
      <c r="AT22" s="118">
        <f t="shared" si="12"/>
        <v>81.9</v>
      </c>
      <c r="AU22" s="118">
        <f t="shared" si="12"/>
        <v>0</v>
      </c>
      <c r="AV22" s="118">
        <f t="shared" si="12"/>
        <v>0</v>
      </c>
      <c r="AW22" s="118">
        <f t="shared" si="12"/>
        <v>0</v>
      </c>
      <c r="AX22" s="118">
        <f t="shared" si="12"/>
        <v>33.84</v>
      </c>
      <c r="AY22" s="118">
        <f t="shared" si="12"/>
        <v>0</v>
      </c>
      <c r="AZ22" s="118">
        <f t="shared" si="12"/>
        <v>0</v>
      </c>
      <c r="BA22" s="118">
        <f t="shared" si="12"/>
        <v>0</v>
      </c>
      <c r="BB22" s="118">
        <f t="shared" si="12"/>
        <v>0</v>
      </c>
      <c r="BC22" s="118">
        <f t="shared" si="12"/>
        <v>4018.7340000000017</v>
      </c>
      <c r="BD22" s="118">
        <f t="shared" si="12"/>
        <v>0</v>
      </c>
      <c r="BE22" s="118">
        <f>SUM(BE10:BE21)</f>
        <v>25200.522</v>
      </c>
      <c r="BF22" s="122">
        <f>SUM(BF10:BF21)</f>
        <v>-3236.010000000002</v>
      </c>
    </row>
    <row r="23" spans="1:58" s="27" customFormat="1" ht="13.5" thickBot="1">
      <c r="A23" s="119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1"/>
    </row>
    <row r="24" spans="1:58" s="27" customFormat="1" ht="13.5" thickBot="1">
      <c r="A24" s="32" t="s">
        <v>54</v>
      </c>
      <c r="B24" s="120"/>
      <c r="C24" s="122">
        <f aca="true" t="shared" si="13" ref="C24:AD24">C22+C8</f>
        <v>119934.133</v>
      </c>
      <c r="D24" s="122">
        <f t="shared" si="13"/>
        <v>83580.25981670001</v>
      </c>
      <c r="E24" s="122">
        <f>E22+E8</f>
        <v>7491.83</v>
      </c>
      <c r="F24" s="122">
        <f t="shared" si="13"/>
        <v>1115.8</v>
      </c>
      <c r="G24" s="122">
        <f t="shared" si="13"/>
        <v>0</v>
      </c>
      <c r="H24" s="122">
        <f t="shared" si="13"/>
        <v>0</v>
      </c>
      <c r="I24" s="122">
        <f t="shared" si="13"/>
        <v>9184.189999999999</v>
      </c>
      <c r="J24" s="122">
        <f t="shared" si="13"/>
        <v>1510.4599999999998</v>
      </c>
      <c r="K24" s="122">
        <f t="shared" si="13"/>
        <v>14561.170000000002</v>
      </c>
      <c r="L24" s="122">
        <f t="shared" si="13"/>
        <v>2140.8200000000006</v>
      </c>
      <c r="M24" s="122">
        <f t="shared" si="13"/>
        <v>52275.6</v>
      </c>
      <c r="N24" s="122">
        <f t="shared" si="13"/>
        <v>3091.3399999999997</v>
      </c>
      <c r="O24" s="122">
        <f t="shared" si="13"/>
        <v>9771.59</v>
      </c>
      <c r="P24" s="122">
        <f t="shared" si="13"/>
        <v>892.5699999999999</v>
      </c>
      <c r="Q24" s="122">
        <f t="shared" si="13"/>
        <v>0</v>
      </c>
      <c r="R24" s="122">
        <f t="shared" si="13"/>
        <v>0</v>
      </c>
      <c r="S24" s="122">
        <f t="shared" si="13"/>
        <v>191153.3</v>
      </c>
      <c r="T24" s="122">
        <f t="shared" si="13"/>
        <v>18560.92</v>
      </c>
      <c r="U24" s="122">
        <f t="shared" si="13"/>
        <v>284437.68</v>
      </c>
      <c r="V24" s="122">
        <f t="shared" si="13"/>
        <v>27311.909999999996</v>
      </c>
      <c r="W24" s="122">
        <f t="shared" si="13"/>
        <v>7405.330000000001</v>
      </c>
      <c r="X24" s="122">
        <f t="shared" si="13"/>
        <v>0</v>
      </c>
      <c r="Y24" s="122">
        <f t="shared" si="13"/>
        <v>9068.42</v>
      </c>
      <c r="Z24" s="122">
        <f t="shared" si="13"/>
        <v>14385.199999999999</v>
      </c>
      <c r="AA24" s="122">
        <f t="shared" si="13"/>
        <v>41564.32000000001</v>
      </c>
      <c r="AB24" s="122">
        <f t="shared" si="13"/>
        <v>8258.62</v>
      </c>
      <c r="AC24" s="122">
        <f t="shared" si="13"/>
        <v>200730.18</v>
      </c>
      <c r="AD24" s="122">
        <f t="shared" si="13"/>
        <v>0</v>
      </c>
      <c r="AE24" s="122">
        <f>AE22+AF8</f>
        <v>252560.83</v>
      </c>
      <c r="AF24" s="122">
        <f>AF22+AG8</f>
        <v>391936.2238167</v>
      </c>
      <c r="AG24" s="122">
        <f aca="true" t="shared" si="14" ref="AG24:BF24">AG22+AG8</f>
        <v>392304.2398167</v>
      </c>
      <c r="AH24" s="122">
        <f t="shared" si="14"/>
        <v>205006.6</v>
      </c>
      <c r="AI24" s="122">
        <f t="shared" si="14"/>
        <v>0</v>
      </c>
      <c r="AJ24" s="122">
        <f t="shared" si="14"/>
        <v>0</v>
      </c>
      <c r="AK24" s="122">
        <f t="shared" si="14"/>
        <v>9014.898</v>
      </c>
      <c r="AL24" s="122">
        <f t="shared" si="14"/>
        <v>2910.8188568</v>
      </c>
      <c r="AM24" s="122">
        <f t="shared" si="14"/>
        <v>9223.81388442</v>
      </c>
      <c r="AN24" s="122">
        <f t="shared" si="14"/>
        <v>0</v>
      </c>
      <c r="AO24" s="122">
        <f t="shared" si="14"/>
        <v>9213.8372797864</v>
      </c>
      <c r="AP24" s="122">
        <f t="shared" si="14"/>
        <v>20566.7576176932</v>
      </c>
      <c r="AQ24" s="122">
        <f t="shared" si="14"/>
        <v>0</v>
      </c>
      <c r="AR24" s="122"/>
      <c r="AS24" s="122">
        <f t="shared" si="14"/>
        <v>0</v>
      </c>
      <c r="AT24" s="122">
        <f t="shared" si="14"/>
        <v>1064.7</v>
      </c>
      <c r="AU24" s="122">
        <f t="shared" si="14"/>
        <v>55467.4784</v>
      </c>
      <c r="AV24" s="122">
        <f t="shared" si="14"/>
        <v>0</v>
      </c>
      <c r="AW24" s="122">
        <f t="shared" si="14"/>
        <v>0</v>
      </c>
      <c r="AX24" s="122">
        <f t="shared" si="14"/>
        <v>11910.44</v>
      </c>
      <c r="AY24" s="122">
        <f t="shared" si="14"/>
        <v>293416.03</v>
      </c>
      <c r="AZ24" s="122">
        <f t="shared" si="14"/>
        <v>0</v>
      </c>
      <c r="BA24" s="122">
        <f t="shared" si="14"/>
        <v>0</v>
      </c>
      <c r="BB24" s="122">
        <f t="shared" si="14"/>
        <v>0</v>
      </c>
      <c r="BC24" s="122">
        <f t="shared" si="14"/>
        <v>412788.7740386995</v>
      </c>
      <c r="BD24" s="122">
        <f t="shared" si="14"/>
        <v>0</v>
      </c>
      <c r="BE24" s="122">
        <f>BE22+BE8</f>
        <v>-20484.628</v>
      </c>
      <c r="BF24" s="123">
        <f t="shared" si="14"/>
        <v>-3025.6100000000006</v>
      </c>
    </row>
    <row r="25" spans="1:58" ht="12.75">
      <c r="A25" s="5" t="s">
        <v>116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196"/>
      <c r="S25" s="12"/>
      <c r="T25" s="11"/>
      <c r="U25" s="198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111"/>
      <c r="BF25" s="270"/>
    </row>
    <row r="26" spans="1:66" ht="12.75">
      <c r="A26" s="12" t="s">
        <v>45</v>
      </c>
      <c r="B26" s="206">
        <v>373.1</v>
      </c>
      <c r="C26" s="96">
        <f aca="true" t="shared" si="15" ref="C26:C37">B26*3</f>
        <v>1119.3000000000002</v>
      </c>
      <c r="D26" s="262">
        <v>0</v>
      </c>
      <c r="E26" s="130"/>
      <c r="F26" s="130"/>
      <c r="G26" s="130"/>
      <c r="H26" s="130"/>
      <c r="I26" s="130"/>
      <c r="J26" s="130"/>
      <c r="K26" s="130"/>
      <c r="L26" s="130"/>
      <c r="M26" s="130">
        <v>746.2</v>
      </c>
      <c r="N26" s="130"/>
      <c r="O26" s="130">
        <v>373.1</v>
      </c>
      <c r="P26" s="130"/>
      <c r="Q26" s="130"/>
      <c r="R26" s="130"/>
      <c r="S26" s="131"/>
      <c r="T26" s="217"/>
      <c r="U26" s="204">
        <f aca="true" t="shared" si="16" ref="U26:V31">E26+G26+I26+K26+M26+O26+Q26+S26</f>
        <v>1119.3000000000002</v>
      </c>
      <c r="V26" s="205">
        <f t="shared" si="16"/>
        <v>0</v>
      </c>
      <c r="W26" s="130">
        <v>0</v>
      </c>
      <c r="X26" s="130">
        <v>0</v>
      </c>
      <c r="Y26" s="130">
        <v>0</v>
      </c>
      <c r="Z26" s="130">
        <v>0</v>
      </c>
      <c r="AA26" s="130">
        <v>332.11</v>
      </c>
      <c r="AB26" s="130">
        <v>181.57</v>
      </c>
      <c r="AC26" s="130"/>
      <c r="AD26" s="130"/>
      <c r="AE26" s="131"/>
      <c r="AF26" s="133">
        <f aca="true" t="shared" si="17" ref="AF26:AF31">SUM(W26:AE26)</f>
        <v>513.6800000000001</v>
      </c>
      <c r="AG26" s="208">
        <f aca="true" t="shared" si="18" ref="AG26:AG37">D26+V26+AF26</f>
        <v>513.6800000000001</v>
      </c>
      <c r="AH26" s="209">
        <f aca="true" t="shared" si="19" ref="AH26:AI37">AC26</f>
        <v>0</v>
      </c>
      <c r="AI26" s="209">
        <f t="shared" si="19"/>
        <v>0</v>
      </c>
      <c r="AJ26" s="210"/>
      <c r="AK26" s="102">
        <f aca="true" t="shared" si="20" ref="AK26:AK31">0.8*B26</f>
        <v>298.48</v>
      </c>
      <c r="AL26" s="211">
        <f aca="true" t="shared" si="21" ref="AL26:AL33">B26*0.2</f>
        <v>74.62</v>
      </c>
      <c r="AM26" s="212">
        <v>0</v>
      </c>
      <c r="AN26" s="212">
        <v>0</v>
      </c>
      <c r="AO26" s="212">
        <v>0</v>
      </c>
      <c r="AP26" s="212">
        <v>0</v>
      </c>
      <c r="AQ26" s="212">
        <v>0</v>
      </c>
      <c r="AR26" s="212">
        <v>0</v>
      </c>
      <c r="AS26" s="212">
        <v>0</v>
      </c>
      <c r="AT26" s="213"/>
      <c r="AU26" s="214"/>
      <c r="AV26" s="214"/>
      <c r="AW26" s="214"/>
      <c r="AX26" s="214"/>
      <c r="AY26" s="269"/>
      <c r="AZ26" s="269"/>
      <c r="BB26" s="145"/>
      <c r="BC26" s="245">
        <f aca="true" t="shared" si="22" ref="BC26:BC37">SUM(AK26:BB26)</f>
        <v>373.1</v>
      </c>
      <c r="BD26" s="167"/>
      <c r="BE26" s="271">
        <f>AG26-BC26</f>
        <v>140.58000000000004</v>
      </c>
      <c r="BF26" s="272">
        <f>AF26-U26</f>
        <v>-605.6200000000001</v>
      </c>
      <c r="BG26" s="3"/>
      <c r="BH26" s="3"/>
      <c r="BI26" s="3"/>
      <c r="BJ26" s="3"/>
      <c r="BK26" s="60"/>
      <c r="BL26" s="115"/>
      <c r="BM26" s="60"/>
      <c r="BN26" s="115"/>
    </row>
    <row r="27" spans="1:62" ht="12.75">
      <c r="A27" s="12" t="s">
        <v>46</v>
      </c>
      <c r="B27" s="206">
        <v>373.1</v>
      </c>
      <c r="C27" s="96">
        <f t="shared" si="15"/>
        <v>1119.3000000000002</v>
      </c>
      <c r="D27" s="262">
        <v>0</v>
      </c>
      <c r="E27" s="161"/>
      <c r="F27" s="161"/>
      <c r="G27" s="161"/>
      <c r="H27" s="161"/>
      <c r="I27" s="161"/>
      <c r="J27" s="161"/>
      <c r="K27" s="161"/>
      <c r="L27" s="161"/>
      <c r="M27" s="161">
        <v>746.2</v>
      </c>
      <c r="N27" s="161"/>
      <c r="O27" s="161">
        <v>373.1</v>
      </c>
      <c r="P27" s="161"/>
      <c r="Q27" s="161"/>
      <c r="R27" s="161"/>
      <c r="S27" s="162"/>
      <c r="T27" s="217"/>
      <c r="U27" s="204">
        <f t="shared" si="16"/>
        <v>1119.3000000000002</v>
      </c>
      <c r="V27" s="205">
        <f t="shared" si="16"/>
        <v>0</v>
      </c>
      <c r="W27" s="161">
        <v>0</v>
      </c>
      <c r="X27" s="161">
        <v>0</v>
      </c>
      <c r="Y27" s="161">
        <v>0</v>
      </c>
      <c r="Z27" s="161">
        <v>0</v>
      </c>
      <c r="AA27" s="161">
        <v>1628.39</v>
      </c>
      <c r="AB27" s="161">
        <v>541.51</v>
      </c>
      <c r="AC27" s="161"/>
      <c r="AD27" s="161"/>
      <c r="AE27" s="162"/>
      <c r="AF27" s="133">
        <f t="shared" si="17"/>
        <v>2169.9</v>
      </c>
      <c r="AG27" s="208">
        <f t="shared" si="18"/>
        <v>2169.9</v>
      </c>
      <c r="AH27" s="209">
        <f t="shared" si="19"/>
        <v>0</v>
      </c>
      <c r="AI27" s="209">
        <f t="shared" si="19"/>
        <v>0</v>
      </c>
      <c r="AJ27" s="210"/>
      <c r="AK27" s="158">
        <f t="shared" si="20"/>
        <v>298.48</v>
      </c>
      <c r="AL27" s="211">
        <f t="shared" si="21"/>
        <v>74.62</v>
      </c>
      <c r="AM27" s="212">
        <v>0</v>
      </c>
      <c r="AN27" s="212">
        <v>0</v>
      </c>
      <c r="AO27" s="212">
        <v>0</v>
      </c>
      <c r="AP27" s="212">
        <v>0</v>
      </c>
      <c r="AQ27" s="212">
        <v>0</v>
      </c>
      <c r="AR27" s="212">
        <v>0</v>
      </c>
      <c r="AS27" s="212">
        <v>0</v>
      </c>
      <c r="AT27" s="213"/>
      <c r="AU27" s="214"/>
      <c r="AV27" s="214"/>
      <c r="AW27" s="214"/>
      <c r="AX27" s="214"/>
      <c r="AY27" s="214"/>
      <c r="AZ27" s="214"/>
      <c r="BA27" s="211"/>
      <c r="BB27" s="211"/>
      <c r="BC27" s="144">
        <f t="shared" si="22"/>
        <v>373.1</v>
      </c>
      <c r="BD27" s="167"/>
      <c r="BE27" s="271">
        <f aca="true" t="shared" si="23" ref="BE27:BE37">AG27-BC27</f>
        <v>1796.8000000000002</v>
      </c>
      <c r="BF27" s="272">
        <f aca="true" t="shared" si="24" ref="BF27:BF37">AF27-U27</f>
        <v>1050.6</v>
      </c>
      <c r="BG27" s="3"/>
      <c r="BH27" s="3"/>
      <c r="BI27" s="3"/>
      <c r="BJ27" s="116"/>
    </row>
    <row r="28" spans="1:63" ht="12.75">
      <c r="A28" s="12" t="s">
        <v>47</v>
      </c>
      <c r="B28" s="206">
        <v>373.1</v>
      </c>
      <c r="C28" s="96">
        <f t="shared" si="15"/>
        <v>1119.3000000000002</v>
      </c>
      <c r="D28" s="262">
        <v>0</v>
      </c>
      <c r="E28" s="161"/>
      <c r="F28" s="161"/>
      <c r="G28" s="161"/>
      <c r="H28" s="161"/>
      <c r="I28" s="161"/>
      <c r="J28" s="161"/>
      <c r="K28" s="161"/>
      <c r="L28" s="161"/>
      <c r="M28" s="161">
        <v>746.2</v>
      </c>
      <c r="N28" s="161"/>
      <c r="O28" s="161">
        <v>373.1</v>
      </c>
      <c r="P28" s="161"/>
      <c r="Q28" s="161"/>
      <c r="R28" s="161"/>
      <c r="S28" s="162"/>
      <c r="T28" s="217"/>
      <c r="U28" s="204">
        <f t="shared" si="16"/>
        <v>1119.3000000000002</v>
      </c>
      <c r="V28" s="205">
        <f t="shared" si="16"/>
        <v>0</v>
      </c>
      <c r="W28" s="130">
        <v>0</v>
      </c>
      <c r="X28" s="130">
        <v>0</v>
      </c>
      <c r="Y28" s="130">
        <v>0</v>
      </c>
      <c r="Z28" s="130">
        <v>0</v>
      </c>
      <c r="AA28" s="130">
        <v>260.95</v>
      </c>
      <c r="AB28" s="130">
        <v>134.18</v>
      </c>
      <c r="AC28" s="130"/>
      <c r="AD28" s="130"/>
      <c r="AE28" s="131"/>
      <c r="AF28" s="133">
        <f t="shared" si="17"/>
        <v>395.13</v>
      </c>
      <c r="AG28" s="208">
        <f t="shared" si="18"/>
        <v>395.13</v>
      </c>
      <c r="AH28" s="209">
        <f t="shared" si="19"/>
        <v>0</v>
      </c>
      <c r="AI28" s="209">
        <f t="shared" si="19"/>
        <v>0</v>
      </c>
      <c r="AJ28" s="210"/>
      <c r="AK28" s="158">
        <f t="shared" si="20"/>
        <v>298.48</v>
      </c>
      <c r="AL28" s="211">
        <f t="shared" si="21"/>
        <v>74.62</v>
      </c>
      <c r="AM28" s="212">
        <v>0</v>
      </c>
      <c r="AN28" s="212">
        <v>0</v>
      </c>
      <c r="AO28" s="212">
        <v>0</v>
      </c>
      <c r="AP28" s="212">
        <v>0</v>
      </c>
      <c r="AQ28" s="212">
        <v>0</v>
      </c>
      <c r="AR28" s="212">
        <v>0</v>
      </c>
      <c r="AS28" s="212">
        <v>0</v>
      </c>
      <c r="AT28" s="213"/>
      <c r="AU28" s="214"/>
      <c r="AV28" s="214"/>
      <c r="AW28" s="214"/>
      <c r="AX28" s="214"/>
      <c r="AY28" s="214"/>
      <c r="AZ28" s="214"/>
      <c r="BA28" s="211"/>
      <c r="BB28" s="145"/>
      <c r="BC28" s="245">
        <f t="shared" si="22"/>
        <v>373.1</v>
      </c>
      <c r="BD28" s="167"/>
      <c r="BE28" s="271">
        <f t="shared" si="23"/>
        <v>22.029999999999973</v>
      </c>
      <c r="BF28" s="272">
        <f t="shared" si="24"/>
        <v>-724.1700000000002</v>
      </c>
      <c r="BG28" s="3"/>
      <c r="BH28" s="3"/>
      <c r="BI28" s="3"/>
      <c r="BJ28" s="115"/>
      <c r="BK28" s="116"/>
    </row>
    <row r="29" spans="1:64" ht="12.75">
      <c r="A29" s="12" t="s">
        <v>48</v>
      </c>
      <c r="B29" s="206">
        <v>373.1</v>
      </c>
      <c r="C29" s="96">
        <f t="shared" si="15"/>
        <v>1119.3000000000002</v>
      </c>
      <c r="D29" s="262">
        <v>0</v>
      </c>
      <c r="E29" s="161"/>
      <c r="F29" s="161"/>
      <c r="G29" s="161"/>
      <c r="H29" s="161"/>
      <c r="I29" s="161"/>
      <c r="J29" s="161"/>
      <c r="K29" s="161"/>
      <c r="L29" s="161"/>
      <c r="M29" s="161">
        <v>746.2</v>
      </c>
      <c r="N29" s="161"/>
      <c r="O29" s="161">
        <v>373.1</v>
      </c>
      <c r="P29" s="161"/>
      <c r="Q29" s="161"/>
      <c r="R29" s="161"/>
      <c r="S29" s="162"/>
      <c r="T29" s="217"/>
      <c r="U29" s="204">
        <f t="shared" si="16"/>
        <v>1119.3000000000002</v>
      </c>
      <c r="V29" s="205">
        <f t="shared" si="16"/>
        <v>0</v>
      </c>
      <c r="W29" s="215">
        <v>0</v>
      </c>
      <c r="X29" s="215">
        <v>0</v>
      </c>
      <c r="Y29" s="215">
        <v>0</v>
      </c>
      <c r="Z29" s="215">
        <v>0</v>
      </c>
      <c r="AA29" s="215">
        <v>293.5</v>
      </c>
      <c r="AB29" s="215">
        <v>146.76</v>
      </c>
      <c r="AC29" s="215"/>
      <c r="AD29" s="215"/>
      <c r="AE29" s="216"/>
      <c r="AF29" s="133">
        <f t="shared" si="17"/>
        <v>440.26</v>
      </c>
      <c r="AG29" s="208">
        <f t="shared" si="18"/>
        <v>440.26</v>
      </c>
      <c r="AH29" s="209">
        <f t="shared" si="19"/>
        <v>0</v>
      </c>
      <c r="AI29" s="209">
        <f t="shared" si="19"/>
        <v>0</v>
      </c>
      <c r="AJ29" s="210"/>
      <c r="AK29" s="158">
        <f t="shared" si="20"/>
        <v>298.48</v>
      </c>
      <c r="AL29" s="211">
        <f t="shared" si="21"/>
        <v>74.62</v>
      </c>
      <c r="AM29" s="212">
        <v>0</v>
      </c>
      <c r="AN29" s="212">
        <v>0</v>
      </c>
      <c r="AO29" s="212">
        <v>0</v>
      </c>
      <c r="AP29" s="212">
        <v>0</v>
      </c>
      <c r="AQ29" s="212">
        <v>0</v>
      </c>
      <c r="AR29" s="212">
        <v>0</v>
      </c>
      <c r="AS29" s="212"/>
      <c r="AT29" s="213"/>
      <c r="AU29" s="214"/>
      <c r="AV29" s="214"/>
      <c r="AW29" s="214"/>
      <c r="AX29" s="214"/>
      <c r="AY29" s="214"/>
      <c r="AZ29" s="214"/>
      <c r="BA29" s="211"/>
      <c r="BB29" s="145"/>
      <c r="BC29" s="245">
        <f t="shared" si="22"/>
        <v>373.1</v>
      </c>
      <c r="BD29" s="167"/>
      <c r="BE29" s="271">
        <f t="shared" si="23"/>
        <v>67.15999999999997</v>
      </c>
      <c r="BF29" s="272">
        <f t="shared" si="24"/>
        <v>-679.0400000000002</v>
      </c>
      <c r="BG29" s="3"/>
      <c r="BH29" s="3"/>
      <c r="BI29" s="3"/>
      <c r="BJ29" s="3"/>
      <c r="BK29" s="115"/>
      <c r="BL29" s="116"/>
    </row>
    <row r="30" spans="1:64" ht="12.75">
      <c r="A30" s="12" t="s">
        <v>49</v>
      </c>
      <c r="B30" s="206">
        <v>373.1</v>
      </c>
      <c r="C30" s="96">
        <f t="shared" si="15"/>
        <v>1119.3000000000002</v>
      </c>
      <c r="D30" s="262">
        <v>0</v>
      </c>
      <c r="E30" s="161"/>
      <c r="F30" s="161"/>
      <c r="G30" s="161"/>
      <c r="H30" s="161"/>
      <c r="I30" s="161"/>
      <c r="J30" s="161"/>
      <c r="K30" s="161"/>
      <c r="L30" s="161"/>
      <c r="M30" s="161">
        <v>746.2</v>
      </c>
      <c r="N30" s="161"/>
      <c r="O30" s="161">
        <v>373.1</v>
      </c>
      <c r="P30" s="161"/>
      <c r="Q30" s="161"/>
      <c r="R30" s="161"/>
      <c r="S30" s="162"/>
      <c r="T30" s="217"/>
      <c r="U30" s="204">
        <f t="shared" si="16"/>
        <v>1119.3000000000002</v>
      </c>
      <c r="V30" s="205">
        <f t="shared" si="16"/>
        <v>0</v>
      </c>
      <c r="W30" s="215">
        <v>0</v>
      </c>
      <c r="X30" s="215">
        <v>0</v>
      </c>
      <c r="Y30" s="215">
        <v>0</v>
      </c>
      <c r="Z30" s="215">
        <v>0</v>
      </c>
      <c r="AA30" s="215">
        <v>1957.27</v>
      </c>
      <c r="AB30" s="215">
        <v>714.73</v>
      </c>
      <c r="AC30" s="215"/>
      <c r="AD30" s="215"/>
      <c r="AE30" s="215"/>
      <c r="AF30" s="133">
        <f t="shared" si="17"/>
        <v>2672</v>
      </c>
      <c r="AG30" s="208">
        <f t="shared" si="18"/>
        <v>2672</v>
      </c>
      <c r="AH30" s="209">
        <f t="shared" si="19"/>
        <v>0</v>
      </c>
      <c r="AI30" s="209">
        <f t="shared" si="19"/>
        <v>0</v>
      </c>
      <c r="AJ30" s="210"/>
      <c r="AK30" s="158">
        <f t="shared" si="20"/>
        <v>298.48</v>
      </c>
      <c r="AL30" s="211">
        <f t="shared" si="21"/>
        <v>74.62</v>
      </c>
      <c r="AM30" s="212">
        <v>0</v>
      </c>
      <c r="AN30" s="212">
        <v>0</v>
      </c>
      <c r="AO30" s="212">
        <v>0</v>
      </c>
      <c r="AP30" s="212">
        <v>0</v>
      </c>
      <c r="AQ30" s="212">
        <v>0</v>
      </c>
      <c r="AR30" s="212">
        <v>0</v>
      </c>
      <c r="AS30" s="212"/>
      <c r="AT30" s="213"/>
      <c r="AU30" s="214"/>
      <c r="AV30" s="214"/>
      <c r="AW30" s="214"/>
      <c r="AX30" s="214"/>
      <c r="AY30" s="214"/>
      <c r="AZ30" s="214"/>
      <c r="BA30" s="211"/>
      <c r="BB30" s="145"/>
      <c r="BC30" s="245">
        <f t="shared" si="22"/>
        <v>373.1</v>
      </c>
      <c r="BD30" s="167"/>
      <c r="BE30" s="271">
        <f t="shared" si="23"/>
        <v>2298.9</v>
      </c>
      <c r="BF30" s="272">
        <f t="shared" si="24"/>
        <v>1552.6999999999998</v>
      </c>
      <c r="BG30" s="3"/>
      <c r="BH30" s="3"/>
      <c r="BI30" s="3"/>
      <c r="BJ30" s="3"/>
      <c r="BK30" s="115"/>
      <c r="BL30" s="116"/>
    </row>
    <row r="31" spans="1:64" ht="12.75">
      <c r="A31" s="12" t="s">
        <v>50</v>
      </c>
      <c r="B31" s="206">
        <v>373.1</v>
      </c>
      <c r="C31" s="96">
        <f t="shared" si="15"/>
        <v>1119.3000000000002</v>
      </c>
      <c r="D31" s="262">
        <v>0</v>
      </c>
      <c r="E31" s="161"/>
      <c r="F31" s="161"/>
      <c r="G31" s="161"/>
      <c r="H31" s="161"/>
      <c r="I31" s="161"/>
      <c r="J31" s="161"/>
      <c r="K31" s="161"/>
      <c r="L31" s="161"/>
      <c r="M31" s="161">
        <v>746.2</v>
      </c>
      <c r="N31" s="161"/>
      <c r="O31" s="161">
        <v>373.1</v>
      </c>
      <c r="P31" s="161"/>
      <c r="Q31" s="161"/>
      <c r="R31" s="161"/>
      <c r="S31" s="162"/>
      <c r="T31" s="217"/>
      <c r="U31" s="204">
        <f t="shared" si="16"/>
        <v>1119.3000000000002</v>
      </c>
      <c r="V31" s="205">
        <f t="shared" si="16"/>
        <v>0</v>
      </c>
      <c r="W31" s="215"/>
      <c r="X31" s="263">
        <v>0</v>
      </c>
      <c r="Y31" s="215"/>
      <c r="Z31" s="215"/>
      <c r="AA31" s="263">
        <v>513.26</v>
      </c>
      <c r="AB31" s="263">
        <v>256.62</v>
      </c>
      <c r="AC31" s="215"/>
      <c r="AD31" s="263"/>
      <c r="AE31" s="264"/>
      <c r="AF31" s="133">
        <f t="shared" si="17"/>
        <v>769.88</v>
      </c>
      <c r="AG31" s="166">
        <f t="shared" si="18"/>
        <v>769.88</v>
      </c>
      <c r="AH31" s="209">
        <f t="shared" si="19"/>
        <v>0</v>
      </c>
      <c r="AI31" s="209">
        <f t="shared" si="19"/>
        <v>0</v>
      </c>
      <c r="AJ31" s="210"/>
      <c r="AK31" s="158">
        <f t="shared" si="20"/>
        <v>298.48</v>
      </c>
      <c r="AL31" s="211">
        <f t="shared" si="21"/>
        <v>74.62</v>
      </c>
      <c r="AM31" s="212">
        <v>0</v>
      </c>
      <c r="AN31" s="212">
        <v>0</v>
      </c>
      <c r="AO31" s="212">
        <v>0</v>
      </c>
      <c r="AP31" s="212">
        <v>0</v>
      </c>
      <c r="AQ31" s="212">
        <v>0</v>
      </c>
      <c r="AR31" s="212">
        <v>0</v>
      </c>
      <c r="AS31" s="212"/>
      <c r="AT31" s="213"/>
      <c r="AU31" s="214"/>
      <c r="AV31" s="214"/>
      <c r="AW31" s="214"/>
      <c r="AX31" s="214"/>
      <c r="AY31" s="214"/>
      <c r="AZ31" s="214"/>
      <c r="BA31" s="211"/>
      <c r="BB31" s="145"/>
      <c r="BC31" s="245">
        <f t="shared" si="22"/>
        <v>373.1</v>
      </c>
      <c r="BD31" s="167"/>
      <c r="BE31" s="271">
        <f t="shared" si="23"/>
        <v>396.78</v>
      </c>
      <c r="BF31" s="272">
        <f t="shared" si="24"/>
        <v>-349.4200000000002</v>
      </c>
      <c r="BG31" s="3"/>
      <c r="BH31" s="3"/>
      <c r="BI31" s="3"/>
      <c r="BJ31" s="3"/>
      <c r="BK31" s="115"/>
      <c r="BL31" s="116"/>
    </row>
    <row r="32" spans="1:62" ht="12.75">
      <c r="A32" s="12" t="s">
        <v>51</v>
      </c>
      <c r="B32" s="142">
        <v>373.1</v>
      </c>
      <c r="C32" s="96">
        <f t="shared" si="15"/>
        <v>1119.3000000000002</v>
      </c>
      <c r="D32" s="262">
        <v>0</v>
      </c>
      <c r="E32" s="161"/>
      <c r="F32" s="161"/>
      <c r="G32" s="161"/>
      <c r="H32" s="161"/>
      <c r="I32" s="161"/>
      <c r="J32" s="161"/>
      <c r="K32" s="161"/>
      <c r="L32" s="161"/>
      <c r="M32" s="161">
        <v>746.2</v>
      </c>
      <c r="N32" s="161"/>
      <c r="O32" s="161">
        <v>373.1</v>
      </c>
      <c r="P32" s="161"/>
      <c r="Q32" s="161"/>
      <c r="R32" s="161"/>
      <c r="S32" s="162"/>
      <c r="T32" s="217"/>
      <c r="U32" s="204">
        <f aca="true" t="shared" si="25" ref="U32:V37">G32+M32+O32+Q32+S32</f>
        <v>1119.3000000000002</v>
      </c>
      <c r="V32" s="265">
        <f t="shared" si="25"/>
        <v>0</v>
      </c>
      <c r="W32" s="215"/>
      <c r="X32" s="130">
        <v>0</v>
      </c>
      <c r="Y32" s="215"/>
      <c r="Z32" s="215"/>
      <c r="AA32" s="130">
        <v>330.02</v>
      </c>
      <c r="AB32" s="130">
        <v>165.01</v>
      </c>
      <c r="AC32" s="215"/>
      <c r="AD32" s="130"/>
      <c r="AE32" s="131"/>
      <c r="AF32" s="133">
        <f aca="true" t="shared" si="26" ref="AF32:AF37">SUM(X32:AE32)</f>
        <v>495.03</v>
      </c>
      <c r="AG32" s="208">
        <f t="shared" si="18"/>
        <v>495.03</v>
      </c>
      <c r="AH32" s="266">
        <v>0</v>
      </c>
      <c r="AI32" s="209">
        <f t="shared" si="19"/>
        <v>0</v>
      </c>
      <c r="AJ32" s="210"/>
      <c r="AK32" s="102">
        <f aca="true" t="shared" si="27" ref="AK32:AK37">1*B32</f>
        <v>373.1</v>
      </c>
      <c r="AL32" s="211">
        <f t="shared" si="21"/>
        <v>74.62</v>
      </c>
      <c r="AM32" s="212">
        <v>0</v>
      </c>
      <c r="AN32" s="212">
        <v>0</v>
      </c>
      <c r="AO32" s="212">
        <v>0</v>
      </c>
      <c r="AP32" s="212">
        <v>0</v>
      </c>
      <c r="AQ32" s="212">
        <v>0</v>
      </c>
      <c r="AR32" s="212">
        <v>0</v>
      </c>
      <c r="AS32" s="212"/>
      <c r="AT32" s="213"/>
      <c r="AU32" s="214"/>
      <c r="AV32" s="214"/>
      <c r="AW32" s="214"/>
      <c r="AX32" s="214"/>
      <c r="AY32" s="214"/>
      <c r="AZ32" s="214"/>
      <c r="BA32" s="211"/>
      <c r="BB32" s="145"/>
      <c r="BC32" s="245">
        <f t="shared" si="22"/>
        <v>447.72</v>
      </c>
      <c r="BD32" s="167"/>
      <c r="BE32" s="271">
        <f t="shared" si="23"/>
        <v>47.309999999999945</v>
      </c>
      <c r="BF32" s="272">
        <f t="shared" si="24"/>
        <v>-624.2700000000002</v>
      </c>
      <c r="BG32" s="3"/>
      <c r="BH32" s="3"/>
      <c r="BI32" s="3"/>
      <c r="BJ32" s="115"/>
    </row>
    <row r="33" spans="1:62" ht="12.75">
      <c r="A33" s="12" t="s">
        <v>52</v>
      </c>
      <c r="B33" s="142">
        <v>373.1</v>
      </c>
      <c r="C33" s="96">
        <f t="shared" si="15"/>
        <v>1119.3000000000002</v>
      </c>
      <c r="D33" s="262"/>
      <c r="E33" s="161"/>
      <c r="F33" s="161"/>
      <c r="G33" s="161"/>
      <c r="H33" s="161"/>
      <c r="I33" s="161"/>
      <c r="J33" s="161"/>
      <c r="K33" s="161"/>
      <c r="L33" s="161"/>
      <c r="M33" s="161">
        <v>746.2</v>
      </c>
      <c r="N33" s="161"/>
      <c r="O33" s="161">
        <v>373.1</v>
      </c>
      <c r="P33" s="161"/>
      <c r="Q33" s="161"/>
      <c r="R33" s="161"/>
      <c r="S33" s="162"/>
      <c r="T33" s="217"/>
      <c r="U33" s="204">
        <f t="shared" si="25"/>
        <v>1119.3000000000002</v>
      </c>
      <c r="V33" s="265">
        <f t="shared" si="25"/>
        <v>0</v>
      </c>
      <c r="W33" s="215"/>
      <c r="X33" s="130">
        <v>0</v>
      </c>
      <c r="Y33" s="215"/>
      <c r="Z33" s="215"/>
      <c r="AA33" s="130">
        <v>627.7</v>
      </c>
      <c r="AB33" s="130">
        <v>313.85</v>
      </c>
      <c r="AC33" s="215"/>
      <c r="AD33" s="130"/>
      <c r="AE33" s="131"/>
      <c r="AF33" s="133">
        <f t="shared" si="26"/>
        <v>941.5500000000001</v>
      </c>
      <c r="AG33" s="208">
        <f t="shared" si="18"/>
        <v>941.5500000000001</v>
      </c>
      <c r="AH33" s="266">
        <v>0</v>
      </c>
      <c r="AI33" s="209">
        <f t="shared" si="19"/>
        <v>0</v>
      </c>
      <c r="AJ33" s="210"/>
      <c r="AK33" s="102">
        <f t="shared" si="27"/>
        <v>373.1</v>
      </c>
      <c r="AL33" s="211">
        <f t="shared" si="21"/>
        <v>74.62</v>
      </c>
      <c r="AM33" s="212">
        <v>0</v>
      </c>
      <c r="AN33" s="212">
        <v>0</v>
      </c>
      <c r="AO33" s="212">
        <v>0</v>
      </c>
      <c r="AP33" s="212">
        <v>0</v>
      </c>
      <c r="AQ33" s="212">
        <v>0</v>
      </c>
      <c r="AR33" s="212">
        <v>0</v>
      </c>
      <c r="AS33" s="212"/>
      <c r="AT33" s="213"/>
      <c r="AU33" s="214"/>
      <c r="AV33" s="214"/>
      <c r="AW33" s="214"/>
      <c r="AX33" s="214"/>
      <c r="AY33" s="214"/>
      <c r="AZ33" s="214"/>
      <c r="BA33" s="211"/>
      <c r="BB33" s="145"/>
      <c r="BC33" s="245">
        <f t="shared" si="22"/>
        <v>447.72</v>
      </c>
      <c r="BD33" s="167"/>
      <c r="BE33" s="271">
        <f t="shared" si="23"/>
        <v>493.83000000000004</v>
      </c>
      <c r="BF33" s="272">
        <f t="shared" si="24"/>
        <v>-177.7500000000001</v>
      </c>
      <c r="BG33" s="3"/>
      <c r="BH33" s="3"/>
      <c r="BI33" s="3"/>
      <c r="BJ33" s="115"/>
    </row>
    <row r="34" spans="1:62" ht="12.75">
      <c r="A34" s="12" t="s">
        <v>53</v>
      </c>
      <c r="B34" s="142">
        <v>373.1</v>
      </c>
      <c r="C34" s="96">
        <f t="shared" si="15"/>
        <v>1119.3000000000002</v>
      </c>
      <c r="D34" s="262"/>
      <c r="E34" s="161"/>
      <c r="F34" s="161"/>
      <c r="G34" s="161"/>
      <c r="H34" s="161"/>
      <c r="I34" s="161"/>
      <c r="J34" s="161"/>
      <c r="K34" s="161"/>
      <c r="L34" s="161"/>
      <c r="M34" s="161">
        <v>746.2</v>
      </c>
      <c r="N34" s="161"/>
      <c r="O34" s="161">
        <v>373.1</v>
      </c>
      <c r="P34" s="161"/>
      <c r="Q34" s="161"/>
      <c r="R34" s="161"/>
      <c r="S34" s="162"/>
      <c r="T34" s="217"/>
      <c r="U34" s="204">
        <f t="shared" si="25"/>
        <v>1119.3000000000002</v>
      </c>
      <c r="V34" s="265">
        <f t="shared" si="25"/>
        <v>0</v>
      </c>
      <c r="W34" s="215"/>
      <c r="X34" s="130">
        <v>0</v>
      </c>
      <c r="Y34" s="215"/>
      <c r="Z34" s="215"/>
      <c r="AA34" s="130">
        <v>1129.36</v>
      </c>
      <c r="AB34" s="130">
        <v>564.67</v>
      </c>
      <c r="AC34" s="215"/>
      <c r="AD34" s="130"/>
      <c r="AE34" s="131"/>
      <c r="AF34" s="133">
        <f t="shared" si="26"/>
        <v>1694.0299999999997</v>
      </c>
      <c r="AG34" s="208">
        <f t="shared" si="18"/>
        <v>1694.0299999999997</v>
      </c>
      <c r="AH34" s="266">
        <v>0</v>
      </c>
      <c r="AI34" s="209">
        <f t="shared" si="19"/>
        <v>0</v>
      </c>
      <c r="AJ34" s="210"/>
      <c r="AK34" s="102">
        <f t="shared" si="27"/>
        <v>373.1</v>
      </c>
      <c r="AL34" s="211">
        <f>B34*0.2</f>
        <v>74.62</v>
      </c>
      <c r="AM34" s="212">
        <v>0</v>
      </c>
      <c r="AN34" s="212">
        <v>0</v>
      </c>
      <c r="AO34" s="212">
        <v>0</v>
      </c>
      <c r="AP34" s="212">
        <v>0</v>
      </c>
      <c r="AQ34" s="212">
        <v>0</v>
      </c>
      <c r="AR34" s="212">
        <v>0</v>
      </c>
      <c r="AS34" s="212"/>
      <c r="AT34" s="213"/>
      <c r="AU34" s="214"/>
      <c r="AV34" s="214"/>
      <c r="AW34" s="214"/>
      <c r="AX34" s="214"/>
      <c r="AY34" s="214"/>
      <c r="AZ34" s="214"/>
      <c r="BA34" s="211"/>
      <c r="BB34" s="145"/>
      <c r="BC34" s="245">
        <f t="shared" si="22"/>
        <v>447.72</v>
      </c>
      <c r="BD34" s="167"/>
      <c r="BE34" s="271">
        <f t="shared" si="23"/>
        <v>1246.3099999999997</v>
      </c>
      <c r="BF34" s="272">
        <f t="shared" si="24"/>
        <v>574.7299999999996</v>
      </c>
      <c r="BG34" s="3"/>
      <c r="BH34" s="3"/>
      <c r="BI34" s="3"/>
      <c r="BJ34" s="116"/>
    </row>
    <row r="35" spans="1:61" ht="12.75">
      <c r="A35" s="12" t="s">
        <v>41</v>
      </c>
      <c r="B35" s="142">
        <v>373.1</v>
      </c>
      <c r="C35" s="96">
        <f t="shared" si="15"/>
        <v>1119.3000000000002</v>
      </c>
      <c r="D35" s="262"/>
      <c r="E35" s="161"/>
      <c r="F35" s="161"/>
      <c r="G35" s="161"/>
      <c r="H35" s="161"/>
      <c r="I35" s="161"/>
      <c r="J35" s="161"/>
      <c r="K35" s="161"/>
      <c r="L35" s="161"/>
      <c r="M35" s="161">
        <v>746.2</v>
      </c>
      <c r="N35" s="161"/>
      <c r="O35" s="161">
        <v>373.1</v>
      </c>
      <c r="P35" s="161"/>
      <c r="Q35" s="161"/>
      <c r="R35" s="161"/>
      <c r="S35" s="162"/>
      <c r="T35" s="217"/>
      <c r="U35" s="204">
        <f t="shared" si="25"/>
        <v>1119.3000000000002</v>
      </c>
      <c r="V35" s="265">
        <f t="shared" si="25"/>
        <v>0</v>
      </c>
      <c r="W35" s="215"/>
      <c r="X35" s="130">
        <v>0</v>
      </c>
      <c r="Y35" s="215"/>
      <c r="Z35" s="215"/>
      <c r="AA35" s="130">
        <v>522.2</v>
      </c>
      <c r="AB35" s="130">
        <v>261.09</v>
      </c>
      <c r="AC35" s="215"/>
      <c r="AD35" s="130"/>
      <c r="AE35" s="131"/>
      <c r="AF35" s="133">
        <f t="shared" si="26"/>
        <v>783.29</v>
      </c>
      <c r="AG35" s="208">
        <f t="shared" si="18"/>
        <v>783.29</v>
      </c>
      <c r="AH35" s="266">
        <v>0</v>
      </c>
      <c r="AI35" s="209">
        <f t="shared" si="19"/>
        <v>0</v>
      </c>
      <c r="AJ35" s="210"/>
      <c r="AK35" s="102">
        <f t="shared" si="27"/>
        <v>373.1</v>
      </c>
      <c r="AL35" s="211">
        <f>B35*0.2</f>
        <v>74.62</v>
      </c>
      <c r="AM35" s="212">
        <v>0</v>
      </c>
      <c r="AN35" s="212">
        <v>0</v>
      </c>
      <c r="AO35" s="212">
        <v>0</v>
      </c>
      <c r="AP35" s="212">
        <v>0</v>
      </c>
      <c r="AQ35" s="212">
        <v>0</v>
      </c>
      <c r="AR35" s="212">
        <v>0</v>
      </c>
      <c r="AS35" s="212">
        <v>0</v>
      </c>
      <c r="AT35" s="213"/>
      <c r="AU35" s="267"/>
      <c r="AV35" s="214"/>
      <c r="AW35" s="214"/>
      <c r="AX35" s="214"/>
      <c r="AY35" s="214"/>
      <c r="AZ35" s="214"/>
      <c r="BA35" s="211"/>
      <c r="BB35" s="145"/>
      <c r="BC35" s="245">
        <f t="shared" si="22"/>
        <v>447.72</v>
      </c>
      <c r="BD35" s="167"/>
      <c r="BE35" s="271">
        <f t="shared" si="23"/>
        <v>335.56999999999994</v>
      </c>
      <c r="BF35" s="272">
        <f t="shared" si="24"/>
        <v>-336.0100000000002</v>
      </c>
      <c r="BG35" s="3"/>
      <c r="BH35" s="3"/>
      <c r="BI35" s="115"/>
    </row>
    <row r="36" spans="1:62" ht="12.75">
      <c r="A36" s="12" t="s">
        <v>42</v>
      </c>
      <c r="B36" s="268">
        <v>373.1</v>
      </c>
      <c r="C36" s="96">
        <f t="shared" si="15"/>
        <v>1119.3000000000002</v>
      </c>
      <c r="D36" s="262"/>
      <c r="E36" s="161"/>
      <c r="F36" s="161"/>
      <c r="G36" s="130"/>
      <c r="H36" s="130"/>
      <c r="I36" s="161"/>
      <c r="J36" s="161"/>
      <c r="K36" s="161"/>
      <c r="L36" s="161"/>
      <c r="M36" s="130">
        <v>746.2</v>
      </c>
      <c r="N36" s="130"/>
      <c r="O36" s="130">
        <v>373.1</v>
      </c>
      <c r="P36" s="130"/>
      <c r="Q36" s="130"/>
      <c r="R36" s="130"/>
      <c r="S36" s="131"/>
      <c r="T36" s="217"/>
      <c r="U36" s="204">
        <f t="shared" si="25"/>
        <v>1119.3000000000002</v>
      </c>
      <c r="V36" s="265">
        <f t="shared" si="25"/>
        <v>0</v>
      </c>
      <c r="W36" s="215"/>
      <c r="X36" s="130">
        <v>0</v>
      </c>
      <c r="Y36" s="215"/>
      <c r="Z36" s="215"/>
      <c r="AA36" s="130">
        <v>621.07</v>
      </c>
      <c r="AB36" s="130">
        <v>310.54</v>
      </c>
      <c r="AC36" s="215"/>
      <c r="AD36" s="130"/>
      <c r="AE36" s="131"/>
      <c r="AF36" s="133">
        <f t="shared" si="26"/>
        <v>931.6100000000001</v>
      </c>
      <c r="AG36" s="208">
        <f t="shared" si="18"/>
        <v>931.6100000000001</v>
      </c>
      <c r="AH36" s="266">
        <v>0</v>
      </c>
      <c r="AI36" s="209">
        <f t="shared" si="19"/>
        <v>0</v>
      </c>
      <c r="AJ36" s="210"/>
      <c r="AK36" s="102">
        <f t="shared" si="27"/>
        <v>373.1</v>
      </c>
      <c r="AL36" s="211">
        <f>B36*0.2</f>
        <v>74.62</v>
      </c>
      <c r="AM36" s="212">
        <v>0</v>
      </c>
      <c r="AN36" s="212">
        <v>0</v>
      </c>
      <c r="AO36" s="212">
        <v>0</v>
      </c>
      <c r="AP36" s="212">
        <v>0</v>
      </c>
      <c r="AQ36" s="212">
        <v>0</v>
      </c>
      <c r="AR36" s="212">
        <v>0</v>
      </c>
      <c r="AS36" s="212">
        <v>0</v>
      </c>
      <c r="AT36" s="213"/>
      <c r="AU36" s="214"/>
      <c r="AV36" s="214"/>
      <c r="AW36" s="214"/>
      <c r="AX36" s="214"/>
      <c r="AY36" s="214"/>
      <c r="AZ36" s="214"/>
      <c r="BA36" s="211"/>
      <c r="BB36" s="145"/>
      <c r="BC36" s="245">
        <f t="shared" si="22"/>
        <v>447.72</v>
      </c>
      <c r="BD36" s="167"/>
      <c r="BE36" s="271">
        <f t="shared" si="23"/>
        <v>483.8900000000001</v>
      </c>
      <c r="BF36" s="272">
        <f t="shared" si="24"/>
        <v>-187.69000000000005</v>
      </c>
      <c r="BG36" s="3"/>
      <c r="BH36" s="3"/>
      <c r="BI36" s="3"/>
      <c r="BJ36" s="116"/>
    </row>
    <row r="37" spans="1:62" ht="13.5" thickBot="1">
      <c r="A37" s="12" t="s">
        <v>43</v>
      </c>
      <c r="B37" s="268">
        <v>373.1</v>
      </c>
      <c r="C37" s="96">
        <f t="shared" si="15"/>
        <v>1119.3000000000002</v>
      </c>
      <c r="D37" s="262"/>
      <c r="E37" s="130"/>
      <c r="F37" s="130"/>
      <c r="G37" s="130"/>
      <c r="H37" s="130"/>
      <c r="I37" s="130"/>
      <c r="J37" s="130"/>
      <c r="K37" s="130"/>
      <c r="L37" s="130"/>
      <c r="M37" s="130">
        <v>746.2</v>
      </c>
      <c r="N37" s="130"/>
      <c r="O37" s="130">
        <v>373.1</v>
      </c>
      <c r="P37" s="130"/>
      <c r="Q37" s="130"/>
      <c r="R37" s="130"/>
      <c r="S37" s="131"/>
      <c r="T37" s="217"/>
      <c r="U37" s="204">
        <f t="shared" si="25"/>
        <v>1119.3000000000002</v>
      </c>
      <c r="V37" s="265">
        <f t="shared" si="25"/>
        <v>0</v>
      </c>
      <c r="W37" s="215"/>
      <c r="X37" s="130">
        <v>0</v>
      </c>
      <c r="Y37" s="130"/>
      <c r="Z37" s="130"/>
      <c r="AA37" s="130">
        <v>371.19</v>
      </c>
      <c r="AB37" s="130">
        <v>185.6</v>
      </c>
      <c r="AC37" s="130"/>
      <c r="AD37" s="130"/>
      <c r="AE37" s="131"/>
      <c r="AF37" s="133">
        <f t="shared" si="26"/>
        <v>556.79</v>
      </c>
      <c r="AG37" s="208">
        <f t="shared" si="18"/>
        <v>556.79</v>
      </c>
      <c r="AH37" s="266">
        <v>0</v>
      </c>
      <c r="AI37" s="209">
        <f t="shared" si="19"/>
        <v>0</v>
      </c>
      <c r="AJ37" s="210"/>
      <c r="AK37" s="102">
        <f t="shared" si="27"/>
        <v>373.1</v>
      </c>
      <c r="AL37" s="211">
        <f>B37*0.2</f>
        <v>74.62</v>
      </c>
      <c r="AM37" s="212">
        <v>0</v>
      </c>
      <c r="AN37" s="212">
        <v>0</v>
      </c>
      <c r="AO37" s="212">
        <v>0</v>
      </c>
      <c r="AP37" s="212">
        <v>0</v>
      </c>
      <c r="AQ37" s="212">
        <v>0</v>
      </c>
      <c r="AR37" s="212">
        <v>0</v>
      </c>
      <c r="AS37" s="212">
        <v>0</v>
      </c>
      <c r="AT37" s="213"/>
      <c r="AU37" s="214"/>
      <c r="AV37" s="214"/>
      <c r="AW37" s="214"/>
      <c r="AX37" s="214"/>
      <c r="AY37" s="214"/>
      <c r="AZ37" s="214"/>
      <c r="BA37" s="211"/>
      <c r="BB37" s="145"/>
      <c r="BC37" s="245">
        <f t="shared" si="22"/>
        <v>447.72</v>
      </c>
      <c r="BD37" s="167"/>
      <c r="BE37" s="271">
        <f t="shared" si="23"/>
        <v>109.06999999999994</v>
      </c>
      <c r="BF37" s="272">
        <f t="shared" si="24"/>
        <v>-562.5100000000002</v>
      </c>
      <c r="BG37" s="3"/>
      <c r="BH37" s="3"/>
      <c r="BI37" s="3"/>
      <c r="BJ37" s="116"/>
    </row>
    <row r="38" spans="1:58" s="27" customFormat="1" ht="13.5" thickBot="1">
      <c r="A38" s="103" t="s">
        <v>5</v>
      </c>
      <c r="B38" s="117"/>
      <c r="C38" s="122">
        <f aca="true" t="shared" si="28" ref="C38:AW38">SUM(C26:C37)</f>
        <v>13431.599999999999</v>
      </c>
      <c r="D38" s="122">
        <f t="shared" si="28"/>
        <v>0</v>
      </c>
      <c r="E38" s="122">
        <f t="shared" si="28"/>
        <v>0</v>
      </c>
      <c r="F38" s="122">
        <f t="shared" si="28"/>
        <v>0</v>
      </c>
      <c r="G38" s="122">
        <f t="shared" si="28"/>
        <v>0</v>
      </c>
      <c r="H38" s="122">
        <f t="shared" si="28"/>
        <v>0</v>
      </c>
      <c r="I38" s="122">
        <f t="shared" si="28"/>
        <v>0</v>
      </c>
      <c r="J38" s="122">
        <f t="shared" si="28"/>
        <v>0</v>
      </c>
      <c r="K38" s="122">
        <f t="shared" si="28"/>
        <v>0</v>
      </c>
      <c r="L38" s="122">
        <f t="shared" si="28"/>
        <v>0</v>
      </c>
      <c r="M38" s="122">
        <f t="shared" si="28"/>
        <v>8954.4</v>
      </c>
      <c r="N38" s="122">
        <f t="shared" si="28"/>
        <v>0</v>
      </c>
      <c r="O38" s="122">
        <f t="shared" si="28"/>
        <v>4477.2</v>
      </c>
      <c r="P38" s="122">
        <f t="shared" si="28"/>
        <v>0</v>
      </c>
      <c r="Q38" s="122">
        <f t="shared" si="28"/>
        <v>0</v>
      </c>
      <c r="R38" s="122">
        <f t="shared" si="28"/>
        <v>0</v>
      </c>
      <c r="S38" s="122">
        <f t="shared" si="28"/>
        <v>0</v>
      </c>
      <c r="T38" s="122">
        <f t="shared" si="28"/>
        <v>0</v>
      </c>
      <c r="U38" s="122">
        <f t="shared" si="28"/>
        <v>13431.599999999999</v>
      </c>
      <c r="V38" s="122">
        <f t="shared" si="28"/>
        <v>0</v>
      </c>
      <c r="W38" s="122">
        <f t="shared" si="28"/>
        <v>0</v>
      </c>
      <c r="X38" s="122">
        <f t="shared" si="28"/>
        <v>0</v>
      </c>
      <c r="Y38" s="122">
        <f t="shared" si="28"/>
        <v>0</v>
      </c>
      <c r="Z38" s="122">
        <f t="shared" si="28"/>
        <v>0</v>
      </c>
      <c r="AA38" s="122">
        <f t="shared" si="28"/>
        <v>8587.02</v>
      </c>
      <c r="AB38" s="122">
        <f t="shared" si="28"/>
        <v>3776.13</v>
      </c>
      <c r="AC38" s="122">
        <f t="shared" si="28"/>
        <v>0</v>
      </c>
      <c r="AD38" s="122">
        <f t="shared" si="28"/>
        <v>0</v>
      </c>
      <c r="AE38" s="122">
        <f t="shared" si="28"/>
        <v>0</v>
      </c>
      <c r="AF38" s="122">
        <f t="shared" si="28"/>
        <v>12363.150000000001</v>
      </c>
      <c r="AG38" s="122">
        <f t="shared" si="28"/>
        <v>12363.150000000001</v>
      </c>
      <c r="AH38" s="122">
        <f t="shared" si="28"/>
        <v>0</v>
      </c>
      <c r="AI38" s="122">
        <f t="shared" si="28"/>
        <v>0</v>
      </c>
      <c r="AJ38" s="122">
        <f t="shared" si="28"/>
        <v>0</v>
      </c>
      <c r="AK38" s="122">
        <f t="shared" si="28"/>
        <v>4029.4799999999996</v>
      </c>
      <c r="AL38" s="122">
        <f t="shared" si="28"/>
        <v>895.44</v>
      </c>
      <c r="AM38" s="122">
        <f t="shared" si="28"/>
        <v>0</v>
      </c>
      <c r="AN38" s="122">
        <f t="shared" si="28"/>
        <v>0</v>
      </c>
      <c r="AO38" s="122">
        <f t="shared" si="28"/>
        <v>0</v>
      </c>
      <c r="AP38" s="122">
        <f t="shared" si="28"/>
        <v>0</v>
      </c>
      <c r="AQ38" s="122">
        <f t="shared" si="28"/>
        <v>0</v>
      </c>
      <c r="AR38" s="122">
        <f t="shared" si="28"/>
        <v>0</v>
      </c>
      <c r="AS38" s="122">
        <f t="shared" si="28"/>
        <v>0</v>
      </c>
      <c r="AT38" s="122">
        <f t="shared" si="28"/>
        <v>0</v>
      </c>
      <c r="AU38" s="122">
        <f t="shared" si="28"/>
        <v>0</v>
      </c>
      <c r="AV38" s="122">
        <f t="shared" si="28"/>
        <v>0</v>
      </c>
      <c r="AW38" s="122">
        <f t="shared" si="28"/>
        <v>0</v>
      </c>
      <c r="AX38" s="122">
        <f aca="true" t="shared" si="29" ref="AX38:BF38">SUM(AX26:AX37)</f>
        <v>0</v>
      </c>
      <c r="AY38" s="122">
        <f t="shared" si="29"/>
        <v>0</v>
      </c>
      <c r="AZ38" s="122">
        <f t="shared" si="29"/>
        <v>0</v>
      </c>
      <c r="BA38" s="122">
        <f t="shared" si="29"/>
        <v>0</v>
      </c>
      <c r="BB38" s="122">
        <f t="shared" si="29"/>
        <v>0</v>
      </c>
      <c r="BC38" s="122">
        <f t="shared" si="29"/>
        <v>4924.920000000001</v>
      </c>
      <c r="BD38" s="122">
        <f t="shared" si="29"/>
        <v>0</v>
      </c>
      <c r="BE38" s="122">
        <f t="shared" si="29"/>
        <v>7438.229999999999</v>
      </c>
      <c r="BF38" s="122">
        <f t="shared" si="29"/>
        <v>-1068.450000000002</v>
      </c>
    </row>
    <row r="39" spans="1:58" s="27" customFormat="1" ht="13.5" thickBot="1">
      <c r="A39" s="119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1"/>
    </row>
    <row r="40" spans="1:58" s="27" customFormat="1" ht="13.5" thickBot="1">
      <c r="A40" s="32" t="s">
        <v>54</v>
      </c>
      <c r="B40" s="120"/>
      <c r="C40" s="122">
        <f>C38+C24</f>
        <v>133365.733</v>
      </c>
      <c r="D40" s="122">
        <f>D38+D24</f>
        <v>83580.25981670001</v>
      </c>
      <c r="E40" s="122">
        <f>E38+E24</f>
        <v>7491.83</v>
      </c>
      <c r="F40" s="122">
        <f aca="true" t="shared" si="30" ref="F40:AD40">F38+F24</f>
        <v>1115.8</v>
      </c>
      <c r="G40" s="122">
        <f t="shared" si="30"/>
        <v>0</v>
      </c>
      <c r="H40" s="122">
        <f t="shared" si="30"/>
        <v>0</v>
      </c>
      <c r="I40" s="122">
        <f t="shared" si="30"/>
        <v>9184.189999999999</v>
      </c>
      <c r="J40" s="122">
        <f t="shared" si="30"/>
        <v>1510.4599999999998</v>
      </c>
      <c r="K40" s="122">
        <f t="shared" si="30"/>
        <v>14561.170000000002</v>
      </c>
      <c r="L40" s="122">
        <f t="shared" si="30"/>
        <v>2140.8200000000006</v>
      </c>
      <c r="M40" s="122">
        <f t="shared" si="30"/>
        <v>61230</v>
      </c>
      <c r="N40" s="122">
        <f t="shared" si="30"/>
        <v>3091.3399999999997</v>
      </c>
      <c r="O40" s="122">
        <f t="shared" si="30"/>
        <v>14248.79</v>
      </c>
      <c r="P40" s="122">
        <f t="shared" si="30"/>
        <v>892.5699999999999</v>
      </c>
      <c r="Q40" s="122">
        <f t="shared" si="30"/>
        <v>0</v>
      </c>
      <c r="R40" s="122">
        <f t="shared" si="30"/>
        <v>0</v>
      </c>
      <c r="S40" s="122">
        <f t="shared" si="30"/>
        <v>191153.3</v>
      </c>
      <c r="T40" s="122">
        <f t="shared" si="30"/>
        <v>18560.92</v>
      </c>
      <c r="U40" s="122">
        <f t="shared" si="30"/>
        <v>297869.27999999997</v>
      </c>
      <c r="V40" s="122">
        <f t="shared" si="30"/>
        <v>27311.909999999996</v>
      </c>
      <c r="W40" s="122">
        <f t="shared" si="30"/>
        <v>7405.330000000001</v>
      </c>
      <c r="X40" s="122">
        <f t="shared" si="30"/>
        <v>0</v>
      </c>
      <c r="Y40" s="122">
        <f t="shared" si="30"/>
        <v>9068.42</v>
      </c>
      <c r="Z40" s="122">
        <f t="shared" si="30"/>
        <v>14385.199999999999</v>
      </c>
      <c r="AA40" s="122">
        <f t="shared" si="30"/>
        <v>50151.34000000001</v>
      </c>
      <c r="AB40" s="122">
        <f t="shared" si="30"/>
        <v>12034.75</v>
      </c>
      <c r="AC40" s="122">
        <f t="shared" si="30"/>
        <v>200730.18</v>
      </c>
      <c r="AD40" s="122">
        <f t="shared" si="30"/>
        <v>0</v>
      </c>
      <c r="AE40" s="122">
        <f>AE38+AF24</f>
        <v>391936.2238167</v>
      </c>
      <c r="AF40" s="122">
        <f>AF38+AG24</f>
        <v>404667.3898167</v>
      </c>
      <c r="AG40" s="122">
        <f aca="true" t="shared" si="31" ref="AG40:AQ40">AG38+AG24</f>
        <v>404667.3898167</v>
      </c>
      <c r="AH40" s="122">
        <f t="shared" si="31"/>
        <v>205006.6</v>
      </c>
      <c r="AI40" s="122">
        <f t="shared" si="31"/>
        <v>0</v>
      </c>
      <c r="AJ40" s="122">
        <f t="shared" si="31"/>
        <v>0</v>
      </c>
      <c r="AK40" s="122">
        <f t="shared" si="31"/>
        <v>13044.377999999999</v>
      </c>
      <c r="AL40" s="122">
        <f t="shared" si="31"/>
        <v>3806.2588568</v>
      </c>
      <c r="AM40" s="122">
        <f t="shared" si="31"/>
        <v>9223.81388442</v>
      </c>
      <c r="AN40" s="122">
        <f t="shared" si="31"/>
        <v>0</v>
      </c>
      <c r="AO40" s="122">
        <f t="shared" si="31"/>
        <v>9213.8372797864</v>
      </c>
      <c r="AP40" s="122">
        <f t="shared" si="31"/>
        <v>20566.7576176932</v>
      </c>
      <c r="AQ40" s="122">
        <f t="shared" si="31"/>
        <v>0</v>
      </c>
      <c r="AR40" s="122"/>
      <c r="AS40" s="122">
        <f aca="true" t="shared" si="32" ref="AS40:BD40">AS38+AS24</f>
        <v>0</v>
      </c>
      <c r="AT40" s="122">
        <f t="shared" si="32"/>
        <v>1064.7</v>
      </c>
      <c r="AU40" s="122">
        <f t="shared" si="32"/>
        <v>55467.4784</v>
      </c>
      <c r="AV40" s="122">
        <f t="shared" si="32"/>
        <v>0</v>
      </c>
      <c r="AW40" s="122">
        <f t="shared" si="32"/>
        <v>0</v>
      </c>
      <c r="AX40" s="122">
        <f t="shared" si="32"/>
        <v>11910.44</v>
      </c>
      <c r="AY40" s="122">
        <f t="shared" si="32"/>
        <v>293416.03</v>
      </c>
      <c r="AZ40" s="122">
        <f t="shared" si="32"/>
        <v>0</v>
      </c>
      <c r="BA40" s="122">
        <f t="shared" si="32"/>
        <v>0</v>
      </c>
      <c r="BB40" s="122">
        <f t="shared" si="32"/>
        <v>0</v>
      </c>
      <c r="BC40" s="122">
        <f t="shared" si="32"/>
        <v>417713.6940386995</v>
      </c>
      <c r="BD40" s="122">
        <f t="shared" si="32"/>
        <v>0</v>
      </c>
      <c r="BE40" s="122">
        <f>BE38+BE24</f>
        <v>-13046.398000000001</v>
      </c>
      <c r="BF40" s="123">
        <f>BF38+BF24</f>
        <v>-4094.0600000000027</v>
      </c>
    </row>
    <row r="43" spans="29:32" ht="12.75">
      <c r="AC43" s="184" t="s">
        <v>114</v>
      </c>
      <c r="AD43" s="185"/>
      <c r="AE43" s="185"/>
      <c r="AF43" s="185"/>
    </row>
    <row r="44" ht="12.75">
      <c r="U44" s="176">
        <f>SUM(U10:U16)</f>
        <v>20478.469999999998</v>
      </c>
    </row>
    <row r="47" ht="12.75">
      <c r="AF47" s="176">
        <f>SUM(AF10:AF16)</f>
        <v>18448.55</v>
      </c>
    </row>
  </sheetData>
  <sheetProtection/>
  <mergeCells count="55">
    <mergeCell ref="BF3:BF6"/>
    <mergeCell ref="E5:F6"/>
    <mergeCell ref="G5:H6"/>
    <mergeCell ref="I5:J6"/>
    <mergeCell ref="K5:L6"/>
    <mergeCell ref="M5:N6"/>
    <mergeCell ref="O5:P6"/>
    <mergeCell ref="Q5:R6"/>
    <mergeCell ref="S3:T4"/>
    <mergeCell ref="AF5:AF6"/>
    <mergeCell ref="U5:U6"/>
    <mergeCell ref="AB5:AB6"/>
    <mergeCell ref="AD5:AD6"/>
    <mergeCell ref="V5:V6"/>
    <mergeCell ref="W5:W6"/>
    <mergeCell ref="X5:X6"/>
    <mergeCell ref="Y5:Y6"/>
    <mergeCell ref="S5:T6"/>
    <mergeCell ref="AC5:AC6"/>
    <mergeCell ref="A1:N1"/>
    <mergeCell ref="A3:A6"/>
    <mergeCell ref="B3:B6"/>
    <mergeCell ref="C3:C6"/>
    <mergeCell ref="D3:D6"/>
    <mergeCell ref="E3:R4"/>
    <mergeCell ref="U3:V4"/>
    <mergeCell ref="W3:AI4"/>
    <mergeCell ref="BE3:BE6"/>
    <mergeCell ref="AH5:AH6"/>
    <mergeCell ref="AI5:AI6"/>
    <mergeCell ref="AK5:AK6"/>
    <mergeCell ref="AL5:AL6"/>
    <mergeCell ref="AM5:AM6"/>
    <mergeCell ref="AP5:AP6"/>
    <mergeCell ref="AT5:AT6"/>
    <mergeCell ref="BC5:BC6"/>
    <mergeCell ref="AV5:AV6"/>
    <mergeCell ref="AZ5:AZ6"/>
    <mergeCell ref="AK3:BD4"/>
    <mergeCell ref="AW5:AW6"/>
    <mergeCell ref="BB5:BB6"/>
    <mergeCell ref="AQ5:AQ6"/>
    <mergeCell ref="AS5:AS6"/>
    <mergeCell ref="AU5:AU6"/>
    <mergeCell ref="BA5:BA6"/>
    <mergeCell ref="BD5:BD6"/>
    <mergeCell ref="AR5:AR6"/>
    <mergeCell ref="AX5:AX6"/>
    <mergeCell ref="Z5:Z6"/>
    <mergeCell ref="AA5:AA6"/>
    <mergeCell ref="AN5:AN6"/>
    <mergeCell ref="AO5:AO6"/>
    <mergeCell ref="AJ3:AJ6"/>
    <mergeCell ref="AE5:AE6"/>
    <mergeCell ref="AG5:A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1">
      <selection activeCell="E68" sqref="E68"/>
    </sheetView>
  </sheetViews>
  <sheetFormatPr defaultColWidth="9.00390625" defaultRowHeight="12.75"/>
  <cols>
    <col min="1" max="1" width="10.00390625" style="2" customWidth="1"/>
    <col min="2" max="2" width="10.37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0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875" style="2" hidden="1" customWidth="1"/>
    <col min="14" max="14" width="10.375" style="2" customWidth="1"/>
    <col min="15" max="15" width="10.75390625" style="2" customWidth="1"/>
    <col min="16" max="16" width="10.25390625" style="2" customWidth="1"/>
    <col min="17" max="16384" width="9.125" style="2" customWidth="1"/>
  </cols>
  <sheetData>
    <row r="1" spans="2:8" ht="20.25" customHeight="1">
      <c r="B1" s="474" t="s">
        <v>55</v>
      </c>
      <c r="C1" s="474"/>
      <c r="D1" s="474"/>
      <c r="E1" s="474"/>
      <c r="F1" s="474"/>
      <c r="G1" s="474"/>
      <c r="H1" s="474"/>
    </row>
    <row r="2" spans="2:8" ht="18.75">
      <c r="B2" s="474" t="s">
        <v>56</v>
      </c>
      <c r="C2" s="474"/>
      <c r="D2" s="474"/>
      <c r="E2" s="474"/>
      <c r="F2" s="474"/>
      <c r="G2" s="474"/>
      <c r="H2" s="474"/>
    </row>
    <row r="4" ht="6.75" customHeight="1"/>
    <row r="5" spans="1:15" ht="12.75">
      <c r="A5" s="390" t="s">
        <v>110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</row>
    <row r="6" spans="1:15" ht="12.75">
      <c r="A6" s="374" t="s">
        <v>118</v>
      </c>
      <c r="B6" s="374"/>
      <c r="C6" s="374"/>
      <c r="D6" s="374"/>
      <c r="E6" s="374"/>
      <c r="F6" s="374"/>
      <c r="G6" s="374"/>
      <c r="H6" s="78"/>
      <c r="I6" s="78"/>
      <c r="J6" s="78"/>
      <c r="K6" s="78"/>
      <c r="L6" s="78"/>
      <c r="M6" s="78"/>
      <c r="N6" s="78"/>
      <c r="O6" s="78"/>
    </row>
    <row r="7" spans="1:6" ht="11.25" customHeight="1" thickBot="1">
      <c r="A7" s="472" t="s">
        <v>57</v>
      </c>
      <c r="B7" s="472"/>
      <c r="C7" s="472"/>
      <c r="D7" s="472"/>
      <c r="E7" s="473">
        <v>3</v>
      </c>
      <c r="F7" s="473"/>
    </row>
    <row r="8" spans="1:16" ht="12.75" customHeight="1">
      <c r="A8" s="329" t="s">
        <v>58</v>
      </c>
      <c r="B8" s="392" t="s">
        <v>1</v>
      </c>
      <c r="C8" s="395" t="s">
        <v>115</v>
      </c>
      <c r="D8" s="398" t="s">
        <v>3</v>
      </c>
      <c r="E8" s="401" t="s">
        <v>60</v>
      </c>
      <c r="F8" s="402"/>
      <c r="G8" s="479" t="s">
        <v>104</v>
      </c>
      <c r="H8" s="480"/>
      <c r="I8" s="370" t="s">
        <v>10</v>
      </c>
      <c r="J8" s="341"/>
      <c r="K8" s="341"/>
      <c r="L8" s="341"/>
      <c r="M8" s="341"/>
      <c r="N8" s="371"/>
      <c r="O8" s="377" t="s">
        <v>61</v>
      </c>
      <c r="P8" s="377" t="s">
        <v>12</v>
      </c>
    </row>
    <row r="9" spans="1:16" ht="12.75">
      <c r="A9" s="330"/>
      <c r="B9" s="393"/>
      <c r="C9" s="396"/>
      <c r="D9" s="399"/>
      <c r="E9" s="403"/>
      <c r="F9" s="404"/>
      <c r="G9" s="481"/>
      <c r="H9" s="482"/>
      <c r="I9" s="372"/>
      <c r="J9" s="342"/>
      <c r="K9" s="342"/>
      <c r="L9" s="342"/>
      <c r="M9" s="342"/>
      <c r="N9" s="373"/>
      <c r="O9" s="378"/>
      <c r="P9" s="378"/>
    </row>
    <row r="10" spans="1:16" ht="26.25" customHeight="1">
      <c r="A10" s="330"/>
      <c r="B10" s="393"/>
      <c r="C10" s="396"/>
      <c r="D10" s="399"/>
      <c r="E10" s="380" t="s">
        <v>62</v>
      </c>
      <c r="F10" s="381"/>
      <c r="G10" s="124" t="s">
        <v>63</v>
      </c>
      <c r="H10" s="388" t="s">
        <v>7</v>
      </c>
      <c r="I10" s="384" t="s">
        <v>64</v>
      </c>
      <c r="J10" s="386" t="s">
        <v>105</v>
      </c>
      <c r="K10" s="386" t="s">
        <v>65</v>
      </c>
      <c r="L10" s="386" t="s">
        <v>37</v>
      </c>
      <c r="M10" s="386" t="s">
        <v>66</v>
      </c>
      <c r="N10" s="388" t="s">
        <v>39</v>
      </c>
      <c r="O10" s="378"/>
      <c r="P10" s="378"/>
    </row>
    <row r="11" spans="1:16" ht="60.75" customHeight="1" thickBot="1">
      <c r="A11" s="391"/>
      <c r="B11" s="394"/>
      <c r="C11" s="397"/>
      <c r="D11" s="400"/>
      <c r="E11" s="34" t="s">
        <v>67</v>
      </c>
      <c r="F11" s="35" t="s">
        <v>21</v>
      </c>
      <c r="G11" s="106" t="s">
        <v>106</v>
      </c>
      <c r="H11" s="389"/>
      <c r="I11" s="385"/>
      <c r="J11" s="387"/>
      <c r="K11" s="387"/>
      <c r="L11" s="387"/>
      <c r="M11" s="387"/>
      <c r="N11" s="389"/>
      <c r="O11" s="379"/>
      <c r="P11" s="379"/>
    </row>
    <row r="12" spans="1:16" ht="13.5" thickBot="1">
      <c r="A12" s="36">
        <v>1</v>
      </c>
      <c r="B12" s="37">
        <v>2</v>
      </c>
      <c r="C12" s="36">
        <v>3</v>
      </c>
      <c r="D12" s="37">
        <v>4</v>
      </c>
      <c r="E12" s="36">
        <v>5</v>
      </c>
      <c r="F12" s="37">
        <v>6</v>
      </c>
      <c r="G12" s="36">
        <v>7</v>
      </c>
      <c r="H12" s="37">
        <v>8</v>
      </c>
      <c r="I12" s="36">
        <v>9</v>
      </c>
      <c r="J12" s="37">
        <v>10</v>
      </c>
      <c r="K12" s="36">
        <v>11</v>
      </c>
      <c r="L12" s="37">
        <v>12</v>
      </c>
      <c r="M12" s="36">
        <v>13</v>
      </c>
      <c r="N12" s="37">
        <v>14</v>
      </c>
      <c r="O12" s="36">
        <v>15</v>
      </c>
      <c r="P12" s="37">
        <v>16</v>
      </c>
    </row>
    <row r="13" spans="1:18" ht="13.5" hidden="1" thickBot="1">
      <c r="A13" s="8" t="s">
        <v>44</v>
      </c>
      <c r="B13" s="125"/>
      <c r="C13" s="51"/>
      <c r="D13" s="52"/>
      <c r="E13" s="53"/>
      <c r="F13" s="54"/>
      <c r="G13" s="55"/>
      <c r="H13" s="54"/>
      <c r="I13" s="55"/>
      <c r="J13" s="18"/>
      <c r="K13" s="18"/>
      <c r="L13" s="19"/>
      <c r="M13" s="126"/>
      <c r="N13" s="20"/>
      <c r="O13" s="41"/>
      <c r="P13" s="41"/>
      <c r="Q13" s="1"/>
      <c r="R13" s="1"/>
    </row>
    <row r="14" spans="1:18" ht="13.5" hidden="1" thickBot="1">
      <c r="A14" s="12" t="s">
        <v>45</v>
      </c>
      <c r="B14" s="127">
        <f>'[1]Лист1'!B8</f>
        <v>0</v>
      </c>
      <c r="C14" s="38">
        <f aca="true" t="shared" si="0" ref="C14:C25">B14*8.65</f>
        <v>0</v>
      </c>
      <c r="D14" s="39">
        <f>'[1]Лист1'!D8</f>
        <v>0</v>
      </c>
      <c r="E14" s="18">
        <f>'[1]Лист1'!S8</f>
        <v>0</v>
      </c>
      <c r="F14" s="20">
        <f>'[1]Лист1'!T8</f>
        <v>0</v>
      </c>
      <c r="G14" s="40">
        <f>'[1]Лист1'!AB8</f>
        <v>0</v>
      </c>
      <c r="H14" s="20">
        <f>'[1]Лист1'!AC8</f>
        <v>0</v>
      </c>
      <c r="I14" s="40">
        <f>'[1]Лист1'!AG8</f>
        <v>0</v>
      </c>
      <c r="J14" s="18">
        <f>'[1]Лист1'!AI8+'[1]Лист1'!AJ8</f>
        <v>0</v>
      </c>
      <c r="K14" s="18">
        <f>'[1]Лист1'!AH8+'[1]Лист1'!AK8+'[1]Лист1'!AL8+'[1]Лист1'!AM8+'[1]Лист1'!AN8+'[1]Лист1'!AO8+'[1]Лист1'!AP8+'[1]Лист1'!AQ8+'[1]Лист1'!AR8</f>
        <v>0</v>
      </c>
      <c r="L14" s="19">
        <f>'[1]Лист1'!AS8+'[1]Лист1'!AT8+'[1]Лист1'!AU8+'[1]Лист1'!AZ8+'[1]Лист1'!BA8</f>
        <v>0</v>
      </c>
      <c r="M14" s="19">
        <f>'[1]Лист1'!AX8</f>
        <v>0</v>
      </c>
      <c r="N14" s="20">
        <f>'[1]Лист1'!BB8</f>
        <v>0</v>
      </c>
      <c r="O14" s="41">
        <f>'[1]Лист1'!BD8</f>
        <v>0</v>
      </c>
      <c r="P14" s="41">
        <f>'[1]Лист1'!BE8</f>
        <v>0</v>
      </c>
      <c r="Q14" s="1"/>
      <c r="R14" s="1"/>
    </row>
    <row r="15" spans="1:18" ht="13.5" hidden="1" thickBot="1">
      <c r="A15" s="12" t="s">
        <v>46</v>
      </c>
      <c r="B15" s="127">
        <f>'[1]Лист1'!B9</f>
        <v>347</v>
      </c>
      <c r="C15" s="38">
        <f t="shared" si="0"/>
        <v>3001.55</v>
      </c>
      <c r="D15" s="39">
        <f>'[1]Лист1'!D9</f>
        <v>375.19375</v>
      </c>
      <c r="E15" s="18">
        <f>'[1]Лист1'!S9</f>
        <v>1402.63</v>
      </c>
      <c r="F15" s="20">
        <f>'[1]Лист1'!T9</f>
        <v>770.85</v>
      </c>
      <c r="G15" s="40">
        <f>'[1]Лист1'!AB9</f>
        <v>1205.52</v>
      </c>
      <c r="H15" s="20">
        <f>'[1]Лист1'!AC9</f>
        <v>2351.5637500000003</v>
      </c>
      <c r="I15" s="40">
        <f>'[1]Лист1'!AG9</f>
        <v>187.38</v>
      </c>
      <c r="J15" s="18">
        <f>'[1]Лист1'!AI9+'[1]Лист1'!AJ9</f>
        <v>301.727947</v>
      </c>
      <c r="K15" s="18">
        <f>'[1]Лист1'!AH9+'[1]Лист1'!AK9+'[1]Лист1'!AL9+'[1]Лист1'!AM9+'[1]Лист1'!AN9+'[1]Лист1'!AO9+'[1]Лист1'!AP9+'[1]Лист1'!AQ9+'[1]Лист1'!AR9</f>
        <v>1036.33545944</v>
      </c>
      <c r="L15" s="19">
        <f>'[1]Лист1'!AS9+'[1]Лист1'!AT9+'[1]Лист1'!AU9+'[1]Лист1'!AZ9+'[1]Лист1'!BA9</f>
        <v>0</v>
      </c>
      <c r="M15" s="19">
        <f>'[1]Лист1'!AX9</f>
        <v>100.70592</v>
      </c>
      <c r="N15" s="20">
        <f>'[1]Лист1'!BB9</f>
        <v>1525.4434064399998</v>
      </c>
      <c r="O15" s="41">
        <f>'[1]Лист1'!BD9</f>
        <v>826.1203435600005</v>
      </c>
      <c r="P15" s="41">
        <f>'[1]Лист1'!BE9</f>
        <v>-197.11000000000013</v>
      </c>
      <c r="Q15" s="1"/>
      <c r="R15" s="1"/>
    </row>
    <row r="16" spans="1:18" ht="13.5" hidden="1" thickBot="1">
      <c r="A16" s="12" t="s">
        <v>47</v>
      </c>
      <c r="B16" s="127">
        <f>'[1]Лист1'!B10</f>
        <v>347</v>
      </c>
      <c r="C16" s="38">
        <f t="shared" si="0"/>
        <v>3001.55</v>
      </c>
      <c r="D16" s="39">
        <f>'[1]Лист1'!D10</f>
        <v>375.19375</v>
      </c>
      <c r="E16" s="18">
        <f>'[1]Лист1'!S10</f>
        <v>1402.63</v>
      </c>
      <c r="F16" s="20">
        <f>'[1]Лист1'!T10</f>
        <v>770.85</v>
      </c>
      <c r="G16" s="40">
        <f>'[1]Лист1'!AB10</f>
        <v>1141.3000000000002</v>
      </c>
      <c r="H16" s="20">
        <f>'[1]Лист1'!AC10</f>
        <v>2287.34375</v>
      </c>
      <c r="I16" s="40">
        <f>'[1]Лист1'!AG10</f>
        <v>187.38</v>
      </c>
      <c r="J16" s="18">
        <f>'[1]Лист1'!AI10+'[1]Лист1'!AJ10</f>
        <v>301.403506</v>
      </c>
      <c r="K16" s="18">
        <f>'[1]Лист1'!AH10+'[1]Лист1'!AK10+'[1]Лист1'!AL10+'[1]Лист1'!AM10+'[1]Лист1'!AN10+'[1]Лист1'!AO10+'[1]Лист1'!AP10+'[1]Лист1'!AQ10+'[1]Лист1'!AR10</f>
        <v>1037.8314805399998</v>
      </c>
      <c r="L16" s="19">
        <f>'[1]Лист1'!AS10+'[1]Лист1'!AT10+'[1]Лист1'!AU10+'[1]Лист1'!AZ10+'[1]Лист1'!BA10</f>
        <v>1569.4</v>
      </c>
      <c r="M16" s="19">
        <f>'[1]Лист1'!AX10</f>
        <v>80.68368</v>
      </c>
      <c r="N16" s="20">
        <f>'[1]Лист1'!BB10</f>
        <v>3096.0149865399994</v>
      </c>
      <c r="O16" s="41">
        <f>'[1]Лист1'!BD10</f>
        <v>-808.6712365399994</v>
      </c>
      <c r="P16" s="41">
        <f>'[1]Лист1'!BE10</f>
        <v>-261.3299999999999</v>
      </c>
      <c r="Q16" s="1"/>
      <c r="R16" s="1"/>
    </row>
    <row r="17" spans="1:18" ht="13.5" hidden="1" thickBot="1">
      <c r="A17" s="12" t="s">
        <v>48</v>
      </c>
      <c r="B17" s="127">
        <f>'[1]Лист1'!B11</f>
        <v>347</v>
      </c>
      <c r="C17" s="38">
        <f t="shared" si="0"/>
        <v>3001.55</v>
      </c>
      <c r="D17" s="39">
        <f>'[1]Лист1'!D11</f>
        <v>375.19375</v>
      </c>
      <c r="E17" s="18">
        <f>'[1]Лист1'!S11</f>
        <v>1402.63</v>
      </c>
      <c r="F17" s="20">
        <f>'[1]Лист1'!T11</f>
        <v>770.85</v>
      </c>
      <c r="G17" s="40">
        <f>'[1]Лист1'!AB11</f>
        <v>1864.7600000000002</v>
      </c>
      <c r="H17" s="20">
        <f>'[1]Лист1'!AC11</f>
        <v>3010.80375</v>
      </c>
      <c r="I17" s="40">
        <f>'[1]Лист1'!AG11</f>
        <v>187.38</v>
      </c>
      <c r="J17" s="18">
        <f>'[1]Лист1'!AI11+'[1]Лист1'!AJ11</f>
        <v>301.9373675</v>
      </c>
      <c r="K17" s="18">
        <f>'[1]Лист1'!AH11+'[1]Лист1'!AK11+'[1]Лист1'!AL11+'[1]Лист1'!AM11+'[1]Лист1'!AN11+'[1]Лист1'!AO11+'[1]Лист1'!AP11+'[1]Лист1'!AQ11+'[1]Лист1'!AR11</f>
        <v>1003.1883752000001</v>
      </c>
      <c r="L17" s="19">
        <f>'[1]Лист1'!AS11+'[1]Лист1'!AT11+'[1]Лист1'!AU11+'[1]Лист1'!AY11+'[1]Лист1'!AZ11</f>
        <v>0</v>
      </c>
      <c r="M17" s="19">
        <f>'[1]Лист1'!AX11</f>
        <v>75.92592</v>
      </c>
      <c r="N17" s="20">
        <f>'[1]Лист1'!BB11</f>
        <v>1492.5057427</v>
      </c>
      <c r="O17" s="41">
        <f>'[1]Лист1'!BD11</f>
        <v>1518.2980073</v>
      </c>
      <c r="P17" s="41">
        <f>'[1]Лист1'!BE11</f>
        <v>462.1300000000001</v>
      </c>
      <c r="Q17" s="1"/>
      <c r="R17" s="1"/>
    </row>
    <row r="18" spans="1:18" ht="13.5" hidden="1" thickBot="1">
      <c r="A18" s="12" t="s">
        <v>49</v>
      </c>
      <c r="B18" s="127">
        <f>'[1]Лист1'!B12</f>
        <v>347</v>
      </c>
      <c r="C18" s="38">
        <f t="shared" si="0"/>
        <v>3001.55</v>
      </c>
      <c r="D18" s="39">
        <f>'[1]Лист1'!D12</f>
        <v>375.19375</v>
      </c>
      <c r="E18" s="18">
        <f>'[1]Лист1'!S12</f>
        <v>1401.9099999999999</v>
      </c>
      <c r="F18" s="20">
        <f>'[1]Лист1'!T12</f>
        <v>770.85</v>
      </c>
      <c r="G18" s="40">
        <f>'[1]Лист1'!AB12</f>
        <v>1402.6</v>
      </c>
      <c r="H18" s="20">
        <f>'[1]Лист1'!AC12</f>
        <v>2548.64375</v>
      </c>
      <c r="I18" s="40">
        <f>'[1]Лист1'!AG12</f>
        <v>187.38</v>
      </c>
      <c r="J18" s="18">
        <f>'[1]Лист1'!AI12+'[1]Лист1'!AJ12</f>
        <v>310.800613</v>
      </c>
      <c r="K18" s="18">
        <f>'[1]Лист1'!AH12+'[1]Лист1'!AK12+'[1]Лист1'!AL12+'[1]Лист1'!AM12+'[1]Лист1'!AN12+'[1]Лист1'!AO12+'[1]Лист1'!AP12+'[1]Лист1'!AQ12+'[1]Лист1'!AR12</f>
        <v>1017.49191592</v>
      </c>
      <c r="L18" s="19">
        <f>'[1]Лист1'!AS12+'[1]Лист1'!AT12+'[1]Лист1'!AU12+'[1]Лист1'!AZ12+'[1]Лист1'!BA12</f>
        <v>0</v>
      </c>
      <c r="M18" s="19">
        <f>'[1]Лист1'!AX12</f>
        <v>60.85968</v>
      </c>
      <c r="N18" s="20">
        <f>'[1]Лист1'!BB12</f>
        <v>1833.8477289200002</v>
      </c>
      <c r="O18" s="41">
        <f>'[1]Лист1'!BD12</f>
        <v>714.79602108</v>
      </c>
      <c r="P18" s="41">
        <f>'[1]Лист1'!BE12</f>
        <v>0.6900000000000546</v>
      </c>
      <c r="Q18" s="1"/>
      <c r="R18" s="1"/>
    </row>
    <row r="19" spans="1:18" ht="13.5" hidden="1" thickBot="1">
      <c r="A19" s="12" t="s">
        <v>50</v>
      </c>
      <c r="B19" s="127">
        <f>'[1]Лист1'!B13</f>
        <v>347</v>
      </c>
      <c r="C19" s="38">
        <f t="shared" si="0"/>
        <v>3001.55</v>
      </c>
      <c r="D19" s="39">
        <f>'[1]Лист1'!D13</f>
        <v>577.8599999999997</v>
      </c>
      <c r="E19" s="18">
        <f>'[1]Лист1'!S13</f>
        <v>1563.57</v>
      </c>
      <c r="F19" s="20">
        <f>'[1]Лист1'!T13</f>
        <v>860.12</v>
      </c>
      <c r="G19" s="40">
        <f>'[1]Лист1'!AB13</f>
        <v>1101.03</v>
      </c>
      <c r="H19" s="20">
        <f>'[1]Лист1'!AC13</f>
        <v>2539.0099999999993</v>
      </c>
      <c r="I19" s="40">
        <f>'[1]Лист1'!AG13</f>
        <v>208.2</v>
      </c>
      <c r="J19" s="18">
        <f>'[1]Лист1'!AI13+'[1]Лист1'!AJ13</f>
        <v>348.041</v>
      </c>
      <c r="K19" s="18">
        <f>'[1]Лист1'!AH13+'[1]Лист1'!AK13+'[1]Лист1'!AL13+'[1]Лист1'!AM13+'[1]Лист1'!AN13+'[1]Лист1'!AO13+'[1]Лист1'!AP13+'[1]Лист1'!AQ13+'[1]Лист1'!AR13</f>
        <v>1192.0144</v>
      </c>
      <c r="L19" s="19">
        <f>'[1]Лист1'!AS13+'[1]Лист1'!AT13+'[1]Лист1'!AU13+'[1]Лист1'!AZ13+'[1]Лист1'!BA13</f>
        <v>0</v>
      </c>
      <c r="M19" s="19">
        <f>'[1]Лист1'!AX13</f>
        <v>52.137119999999996</v>
      </c>
      <c r="N19" s="20">
        <f>'[1]Лист1'!BB13</f>
        <v>1800.3925199999999</v>
      </c>
      <c r="O19" s="41">
        <f>'[1]Лист1'!BD13</f>
        <v>738.6174799999994</v>
      </c>
      <c r="P19" s="41">
        <f>'[1]Лист1'!BE13</f>
        <v>-462.53999999999996</v>
      </c>
      <c r="Q19" s="1"/>
      <c r="R19" s="1"/>
    </row>
    <row r="20" spans="1:18" ht="13.5" hidden="1" thickBot="1">
      <c r="A20" s="12" t="s">
        <v>51</v>
      </c>
      <c r="B20" s="127">
        <f>'[1]Лист1'!B14</f>
        <v>347</v>
      </c>
      <c r="C20" s="38">
        <f t="shared" si="0"/>
        <v>3001.55</v>
      </c>
      <c r="D20" s="39">
        <f>'[1]Лист1'!D14</f>
        <v>577.73</v>
      </c>
      <c r="E20" s="18">
        <f>'[1]Лист1'!S14</f>
        <v>1563.7</v>
      </c>
      <c r="F20" s="20">
        <f>'[1]Лист1'!T14</f>
        <v>860.12</v>
      </c>
      <c r="G20" s="40">
        <f>'[1]Лист1'!AB14</f>
        <v>1864.8400000000001</v>
      </c>
      <c r="H20" s="20">
        <f>'[1]Лист1'!AC14</f>
        <v>3302.69</v>
      </c>
      <c r="I20" s="40">
        <f>'[1]Лист1'!AG14</f>
        <v>208.2</v>
      </c>
      <c r="J20" s="18">
        <f>'[1]Лист1'!AI14+'[1]Лист1'!AJ14</f>
        <v>348.041</v>
      </c>
      <c r="K20" s="18">
        <f>'[1]Лист1'!AH14+'[1]Лист1'!AK14+'[1]Лист1'!AL14+'[1]Лист1'!AM14+'[1]Лист1'!AN14+'[1]Лист1'!AO14+'[1]Лист1'!AP14+'[1]Лист1'!AQ14+'[1]Лист1'!AR14</f>
        <v>1192.04563</v>
      </c>
      <c r="L20" s="19">
        <f>'[1]Лист1'!AS14+'[1]Лист1'!AT14+'[1]Лист1'!AU14+'[1]Лист1'!AZ14+'[1]Лист1'!BA14</f>
        <v>0</v>
      </c>
      <c r="M20" s="19">
        <f>'[1]Лист1'!AX14</f>
        <v>46.189919999999994</v>
      </c>
      <c r="N20" s="20">
        <f>'[1]Лист1'!BB14</f>
        <v>1794.47655</v>
      </c>
      <c r="O20" s="41">
        <f>'[1]Лист1'!BD14</f>
        <v>1508.21345</v>
      </c>
      <c r="P20" s="41">
        <f>'[1]Лист1'!BE14</f>
        <v>301.1400000000001</v>
      </c>
      <c r="Q20" s="1"/>
      <c r="R20" s="1"/>
    </row>
    <row r="21" spans="1:18" ht="13.5" hidden="1" thickBot="1">
      <c r="A21" s="12" t="s">
        <v>52</v>
      </c>
      <c r="B21" s="127">
        <f>'[1]Лист1'!B15</f>
        <v>347</v>
      </c>
      <c r="C21" s="38">
        <f t="shared" si="0"/>
        <v>3001.55</v>
      </c>
      <c r="D21" s="39">
        <f>'[1]Лист1'!D15</f>
        <v>595.9700000000003</v>
      </c>
      <c r="E21" s="18">
        <f>'[1]Лист1'!S15</f>
        <v>1553.6399999999999</v>
      </c>
      <c r="F21" s="20">
        <f>'[1]Лист1'!T15</f>
        <v>851.9399999999999</v>
      </c>
      <c r="G21" s="40">
        <f>'[1]Лист1'!AB15</f>
        <v>1230.87</v>
      </c>
      <c r="H21" s="20">
        <f>'[1]Лист1'!AC15</f>
        <v>2678.78</v>
      </c>
      <c r="I21" s="40">
        <f>'[1]Лист1'!AG15</f>
        <v>208.2</v>
      </c>
      <c r="J21" s="18">
        <f>'[1]Лист1'!AI15+'[1]Лист1'!AJ15</f>
        <v>343.0988178</v>
      </c>
      <c r="K21" s="18">
        <f>'[1]Лист1'!AH15+'[1]Лист1'!AK15+'[1]Лист1'!AL15+'[1]Лист1'!AM15+'[1]Лист1'!AN15+'[1]Лист1'!AO15+'[1]Лист1'!AP15+'[1]Лист1'!AQ15+'[1]Лист1'!AR15</f>
        <v>1180.18489934</v>
      </c>
      <c r="L21" s="19">
        <f>'[1]Лист1'!AS15+'[1]Лист1'!AT15+'[1]Лист1'!AU15+'[1]Лист1'!AZ15+'[1]Лист1'!BA15</f>
        <v>0</v>
      </c>
      <c r="M21" s="19">
        <f>'[1]Лист1'!AX15</f>
        <v>49.16352</v>
      </c>
      <c r="N21" s="20">
        <f>'[1]Лист1'!BB15</f>
        <v>1780.64723714</v>
      </c>
      <c r="O21" s="41">
        <f>'[1]Лист1'!BD15</f>
        <v>898.1327628600002</v>
      </c>
      <c r="P21" s="41">
        <f>'[1]Лист1'!BE15</f>
        <v>-322.77</v>
      </c>
      <c r="Q21" s="1"/>
      <c r="R21" s="1"/>
    </row>
    <row r="22" spans="1:18" ht="13.5" hidden="1" thickBot="1">
      <c r="A22" s="12" t="s">
        <v>53</v>
      </c>
      <c r="B22" s="127">
        <f>'[1]Лист1'!B16</f>
        <v>347</v>
      </c>
      <c r="C22" s="38">
        <f t="shared" si="0"/>
        <v>3001.55</v>
      </c>
      <c r="D22" s="39">
        <f>'[1]Лист1'!D16</f>
        <v>577.73</v>
      </c>
      <c r="E22" s="18">
        <f>'[1]Лист1'!S16</f>
        <v>1563.7</v>
      </c>
      <c r="F22" s="20">
        <f>'[1]Лист1'!T16</f>
        <v>860.12</v>
      </c>
      <c r="G22" s="40">
        <f>'[1]Лист1'!AB16</f>
        <v>1843.1499999999999</v>
      </c>
      <c r="H22" s="20">
        <f>'[1]Лист1'!AC16</f>
        <v>3281</v>
      </c>
      <c r="I22" s="40">
        <f>'[1]Лист1'!AG16</f>
        <v>208.2</v>
      </c>
      <c r="J22" s="18">
        <f>'[1]Лист1'!AI16+'[1]Лист1'!AJ16</f>
        <v>342.9073952499999</v>
      </c>
      <c r="K22" s="18">
        <f>'[1]Лист1'!AH16+'[1]Лист1'!AK16+'[1]Лист1'!AL16+'[1]Лист1'!AM16+'[1]Лист1'!AN16+'[1]Лист1'!AO16+'[1]Лист1'!AP16+'[1]Лист1'!AQ16+'[1]Лист1'!AR16</f>
        <v>1179.93693314</v>
      </c>
      <c r="L22" s="19">
        <f>'[1]Лист1'!AS16+'[1]Лист1'!AT16+'[1]Лист1'!AU16+'[1]Лист1'!AZ16+'[1]Лист1'!BA16</f>
        <v>0</v>
      </c>
      <c r="M22" s="19">
        <f>'[1]Лист1'!AX16</f>
        <v>58.08431999999999</v>
      </c>
      <c r="N22" s="20">
        <f>'[1]Лист1'!BB16</f>
        <v>1789.1286483900003</v>
      </c>
      <c r="O22" s="41">
        <f>'[1]Лист1'!BD16</f>
        <v>1491.8713516099997</v>
      </c>
      <c r="P22" s="41">
        <f>'[1]Лист1'!BE16</f>
        <v>279.4499999999998</v>
      </c>
      <c r="Q22" s="1"/>
      <c r="R22" s="1"/>
    </row>
    <row r="23" spans="1:18" ht="13.5" hidden="1" thickBot="1">
      <c r="A23" s="12" t="s">
        <v>41</v>
      </c>
      <c r="B23" s="127">
        <f>'[1]Лист1'!B17</f>
        <v>347</v>
      </c>
      <c r="C23" s="38">
        <f t="shared" si="0"/>
        <v>3001.55</v>
      </c>
      <c r="D23" s="39">
        <f>'[1]Лист1'!D17</f>
        <v>577.73</v>
      </c>
      <c r="E23" s="18">
        <f>'[1]Лист1'!S17</f>
        <v>1563.7</v>
      </c>
      <c r="F23" s="20">
        <f>'[1]Лист1'!T17</f>
        <v>860.12</v>
      </c>
      <c r="G23" s="40">
        <f>'[1]Лист1'!AB17</f>
        <v>1231.0300000000002</v>
      </c>
      <c r="H23" s="20">
        <f>'[1]Лист1'!AC17</f>
        <v>2668.88</v>
      </c>
      <c r="I23" s="40">
        <f>'[1]Лист1'!AG17</f>
        <v>208.2</v>
      </c>
      <c r="J23" s="18">
        <f>'[1]Лист1'!AI17+'[1]Лист1'!AJ17</f>
        <v>342.84822827999994</v>
      </c>
      <c r="K23" s="18">
        <f>'[1]Лист1'!AH17+'[1]Лист1'!AK17+'[1]Лист1'!AL17+'[1]Лист1'!AM17+'[1]Лист1'!AN17+'[1]Лист1'!AO17+'[1]Лист1'!AP17+'[1]Лист1'!AQ17+'[1]Лист1'!AR17</f>
        <v>1179.8602711239998</v>
      </c>
      <c r="L23" s="19">
        <f>'[1]Лист1'!AS17+'[1]Лист1'!AT17+'[1]Лист1'!AU17+'[1]Лист1'!AZ17+'[1]Лист1'!BA17</f>
        <v>0</v>
      </c>
      <c r="M23" s="19">
        <f>'[1]Лист1'!AX17</f>
        <v>69.18576</v>
      </c>
      <c r="N23" s="20">
        <f>'[1]Лист1'!BB17</f>
        <v>1800.0942594039993</v>
      </c>
      <c r="O23" s="41">
        <f>'[1]Лист1'!BD17</f>
        <v>868.7857405960008</v>
      </c>
      <c r="P23" s="41">
        <f>'[1]Лист1'!BE17</f>
        <v>-332.66999999999985</v>
      </c>
      <c r="Q23" s="1"/>
      <c r="R23" s="1"/>
    </row>
    <row r="24" spans="1:18" ht="13.5" hidden="1" thickBot="1">
      <c r="A24" s="12" t="s">
        <v>42</v>
      </c>
      <c r="B24" s="127">
        <f>'[1]Лист1'!B18</f>
        <v>347</v>
      </c>
      <c r="C24" s="38">
        <f t="shared" si="0"/>
        <v>3001.55</v>
      </c>
      <c r="D24" s="39">
        <f>'[1]Лист1'!D18</f>
        <v>577.73</v>
      </c>
      <c r="E24" s="18">
        <f>'[1]Лист1'!S18</f>
        <v>1563.7</v>
      </c>
      <c r="F24" s="20">
        <f>'[1]Лист1'!T18</f>
        <v>860.12</v>
      </c>
      <c r="G24" s="40">
        <f>'[1]Лист1'!AB18</f>
        <v>1939.5499999999997</v>
      </c>
      <c r="H24" s="20">
        <f>'[1]Лист1'!AC18</f>
        <v>3377.3999999999996</v>
      </c>
      <c r="I24" s="40">
        <f>'[1]Лист1'!AG18</f>
        <v>208.2</v>
      </c>
      <c r="J24" s="18">
        <f>'[1]Лист1'!AI18+'[1]Лист1'!AJ18</f>
        <v>346.81262</v>
      </c>
      <c r="K24" s="18">
        <f>'[1]Лист1'!AH18+'[1]Лист1'!AK18+'[1]Лист1'!AL18+'[1]Лист1'!AM18+'[1]Лист1'!AN18+'[1]Лист1'!AO18+'[1]Лист1'!AP18+'[1]Лист1'!AQ18+'[1]Лист1'!AR18</f>
        <v>1190.0018</v>
      </c>
      <c r="L24" s="19">
        <f>'[1]Лист1'!AS18+'[1]Лист1'!AT18+'[1]Лист1'!AU18+'[1]Лист1'!AZ18+'[1]Лист1'!BA18</f>
        <v>0</v>
      </c>
      <c r="M24" s="19">
        <f>'[1]Лист1'!AX18</f>
        <v>84.252</v>
      </c>
      <c r="N24" s="20">
        <f>'[1]Лист1'!BB18</f>
        <v>1829.2664200000002</v>
      </c>
      <c r="O24" s="41">
        <f>'[1]Лист1'!BD18</f>
        <v>1548.1335799999995</v>
      </c>
      <c r="P24" s="41">
        <f>'[1]Лист1'!BE18</f>
        <v>375.8499999999997</v>
      </c>
      <c r="Q24" s="1"/>
      <c r="R24" s="1"/>
    </row>
    <row r="25" spans="1:18" ht="13.5" hidden="1" thickBot="1">
      <c r="A25" s="42" t="s">
        <v>43</v>
      </c>
      <c r="B25" s="127">
        <f>'[1]Лист1'!B19</f>
        <v>347</v>
      </c>
      <c r="C25" s="43">
        <f t="shared" si="0"/>
        <v>3001.55</v>
      </c>
      <c r="D25" s="39">
        <f>'[1]Лист1'!D19</f>
        <v>577.73</v>
      </c>
      <c r="E25" s="18">
        <f>'[1]Лист1'!S19</f>
        <v>1563.7</v>
      </c>
      <c r="F25" s="20">
        <f>'[1]Лист1'!T19</f>
        <v>860.12</v>
      </c>
      <c r="G25" s="40">
        <f>'[1]Лист1'!AB19</f>
        <v>1230.9</v>
      </c>
      <c r="H25" s="20">
        <f>'[1]Лист1'!AC19</f>
        <v>2668.75</v>
      </c>
      <c r="I25" s="40">
        <f>'[1]Лист1'!AG19</f>
        <v>208.2</v>
      </c>
      <c r="J25" s="18">
        <f>'[1]Лист1'!AI19+'[1]Лист1'!AJ19</f>
        <v>348.041</v>
      </c>
      <c r="K25" s="18">
        <f>'[1]Лист1'!AH19+'[1]Лист1'!AK19+'[1]Лист1'!AL19+'[1]Лист1'!AM19+'[1]Лист1'!AN19+'[1]Лист1'!AO19+'[1]Лист1'!AP19+'[1]Лист1'!AQ19+'[1]Лист1'!AR19</f>
        <v>1191.3204</v>
      </c>
      <c r="L25" s="19">
        <f>'[1]Лист1'!AS19+'[1]Лист1'!AT19+'[1]Лист1'!AU19+'[1]Лист1'!AZ19+'[1]Лист1'!BA19</f>
        <v>0</v>
      </c>
      <c r="M25" s="19">
        <f>'[1]Лист1'!AX19</f>
        <v>93.17280000000001</v>
      </c>
      <c r="N25" s="20">
        <f>'[1]Лист1'!BB19</f>
        <v>1840.7342</v>
      </c>
      <c r="O25" s="41">
        <f>'[1]Лист1'!BD19</f>
        <v>828.0157999999999</v>
      </c>
      <c r="P25" s="41">
        <f>'[1]Лист1'!BE19</f>
        <v>-332.79999999999995</v>
      </c>
      <c r="Q25" s="1"/>
      <c r="R25" s="1"/>
    </row>
    <row r="26" spans="1:18" s="27" customFormat="1" ht="13.5" hidden="1" thickBot="1">
      <c r="A26" s="44" t="s">
        <v>5</v>
      </c>
      <c r="B26" s="45"/>
      <c r="C26" s="46">
        <f aca="true" t="shared" si="1" ref="C26:P26">SUM(C14:C25)</f>
        <v>33017.049999999996</v>
      </c>
      <c r="D26" s="47">
        <f t="shared" si="1"/>
        <v>5563.254999999999</v>
      </c>
      <c r="E26" s="46">
        <f t="shared" si="1"/>
        <v>16545.510000000002</v>
      </c>
      <c r="F26" s="48">
        <f t="shared" si="1"/>
        <v>9096.060000000001</v>
      </c>
      <c r="G26" s="47">
        <f t="shared" si="1"/>
        <v>16055.549999999997</v>
      </c>
      <c r="H26" s="48">
        <f t="shared" si="1"/>
        <v>30714.864999999998</v>
      </c>
      <c r="I26" s="47">
        <f t="shared" si="1"/>
        <v>2206.92</v>
      </c>
      <c r="J26" s="46">
        <f t="shared" si="1"/>
        <v>3635.6594948300003</v>
      </c>
      <c r="K26" s="46">
        <f t="shared" si="1"/>
        <v>12400.211564704</v>
      </c>
      <c r="L26" s="46">
        <f t="shared" si="1"/>
        <v>1569.4</v>
      </c>
      <c r="M26" s="46">
        <f t="shared" si="1"/>
        <v>770.36064</v>
      </c>
      <c r="N26" s="48">
        <f t="shared" si="1"/>
        <v>20582.551699533997</v>
      </c>
      <c r="O26" s="49">
        <f t="shared" si="1"/>
        <v>10132.313300466</v>
      </c>
      <c r="P26" s="49">
        <f t="shared" si="1"/>
        <v>-489.96000000000004</v>
      </c>
      <c r="Q26" s="50"/>
      <c r="R26" s="50"/>
    </row>
    <row r="27" spans="1:18" ht="13.5" thickBot="1">
      <c r="A27" s="475" t="s">
        <v>107</v>
      </c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56"/>
      <c r="Q27" s="1"/>
      <c r="R27" s="1"/>
    </row>
    <row r="28" spans="1:18" s="27" customFormat="1" ht="13.5" thickBot="1">
      <c r="A28" s="57" t="s">
        <v>54</v>
      </c>
      <c r="B28" s="58"/>
      <c r="C28" s="59">
        <f>'2012 полн'!C8</f>
        <v>87934.17</v>
      </c>
      <c r="D28" s="59">
        <f>'2008-2010'!D44</f>
        <v>83212.24381670001</v>
      </c>
      <c r="E28" s="59">
        <f>'2008-2010'!S44</f>
        <v>252350.43000000005</v>
      </c>
      <c r="F28" s="59">
        <f>'2008-2010'!T44</f>
        <v>27311.909999999996</v>
      </c>
      <c r="G28" s="59">
        <f>'2008-2010'!AB44</f>
        <v>252560.82999999996</v>
      </c>
      <c r="H28" s="59">
        <f>'2008-2010'!AC44</f>
        <v>363084.98381669994</v>
      </c>
      <c r="I28" s="59">
        <f>'2012 полн'!AK8</f>
        <v>6009.143999999999</v>
      </c>
      <c r="J28" s="59">
        <f>'2012 полн'!AL8</f>
        <v>2013.5788567999998</v>
      </c>
      <c r="K28" s="59">
        <f>'2012 полн'!AM8+'2012 полн'!AN8+'2012 полн'!AO8+'2012 полн'!AP8+'2012 полн'!AQ8+'2012 полн'!AS8+'2012 полн'!AT8+'2012 полн'!AX8</f>
        <v>51863.80878189961</v>
      </c>
      <c r="L28" s="59">
        <f>'2012 полн'!AU8+'2012 полн'!AV8+'2012 полн'!AW8+293416.03</f>
        <v>348883.50840000005</v>
      </c>
      <c r="M28" s="59">
        <f>'2012 полн'!AY8</f>
        <v>293416.03</v>
      </c>
      <c r="N28" s="59">
        <f>'2012 полн'!BC8</f>
        <v>408770.0400386995</v>
      </c>
      <c r="O28" s="59">
        <f>'2012 полн'!BE8</f>
        <v>-45685.15</v>
      </c>
      <c r="P28" s="59">
        <f>'2012 полн'!BF8</f>
        <v>210.40000000000146</v>
      </c>
      <c r="Q28" s="60"/>
      <c r="R28" s="50"/>
    </row>
    <row r="29" spans="1:18" ht="12.75">
      <c r="A29" s="8" t="s">
        <v>108</v>
      </c>
      <c r="B29" s="125"/>
      <c r="C29" s="51"/>
      <c r="D29" s="52"/>
      <c r="E29" s="53"/>
      <c r="F29" s="54"/>
      <c r="G29" s="55"/>
      <c r="H29" s="54"/>
      <c r="I29" s="55"/>
      <c r="J29" s="18"/>
      <c r="K29" s="18"/>
      <c r="L29" s="19"/>
      <c r="M29" s="126"/>
      <c r="N29" s="20"/>
      <c r="O29" s="41"/>
      <c r="P29" s="41"/>
      <c r="Q29" s="1"/>
      <c r="R29" s="1"/>
    </row>
    <row r="30" spans="1:18" ht="12.75">
      <c r="A30" s="12" t="s">
        <v>45</v>
      </c>
      <c r="B30" s="127">
        <f>'2012 полн'!B10</f>
        <v>376.1</v>
      </c>
      <c r="C30" s="127">
        <f>'2012 полн'!C10</f>
        <v>2927.9385</v>
      </c>
      <c r="D30" s="127">
        <f>'2012 полн'!D10</f>
        <v>46.002</v>
      </c>
      <c r="E30" s="18">
        <f>'2012 полн'!U10</f>
        <v>2938.85</v>
      </c>
      <c r="F30" s="18">
        <f>'2012 полн'!V10</f>
        <v>0</v>
      </c>
      <c r="G30" s="40">
        <f>'2012 полн'!AF10</f>
        <v>572.4099999999999</v>
      </c>
      <c r="H30" s="40">
        <f>'2012 полн'!AG10</f>
        <v>618.4119999999998</v>
      </c>
      <c r="I30" s="40">
        <f>'2012 полн'!AK10</f>
        <v>251.98700000000002</v>
      </c>
      <c r="J30" s="40">
        <f>'2012 полн'!AL10</f>
        <v>75.22000000000001</v>
      </c>
      <c r="K30" s="18">
        <f>'2012 полн'!AM10+'2012 полн'!AN10+'2012 полн'!AO10+'2012 полн'!AP10+'2012 полн'!AQ10+'2012 полн'!AR10+'2012 полн'!AS10+'2012 полн'!AT10+'2012 полн'!AX10</f>
        <v>0</v>
      </c>
      <c r="L30" s="19">
        <f>'2012 полн'!AU10+'2012 полн'!AV10+'2012 полн'!AW10</f>
        <v>0</v>
      </c>
      <c r="M30" s="19">
        <v>0</v>
      </c>
      <c r="N30" s="20">
        <f>'2012 полн'!BC10</f>
        <v>327.20700000000005</v>
      </c>
      <c r="O30" s="41">
        <f>'2012 полн'!BE10</f>
        <v>291.20499999999976</v>
      </c>
      <c r="P30" s="41">
        <f>'2012 полн'!BF10</f>
        <v>-2366.44</v>
      </c>
      <c r="Q30" s="1"/>
      <c r="R30" s="1"/>
    </row>
    <row r="31" spans="1:18" ht="12.75">
      <c r="A31" s="12" t="s">
        <v>46</v>
      </c>
      <c r="B31" s="127">
        <f>'2012 полн'!B11</f>
        <v>376.1</v>
      </c>
      <c r="C31" s="127">
        <f>'2012 полн'!C11</f>
        <v>2927.9385</v>
      </c>
      <c r="D31" s="127">
        <f>'2012 полн'!D11</f>
        <v>46.002</v>
      </c>
      <c r="E31" s="18">
        <f>'2012 полн'!U11</f>
        <v>2938.85</v>
      </c>
      <c r="F31" s="18">
        <f>'2012 полн'!V11</f>
        <v>0</v>
      </c>
      <c r="G31" s="40">
        <f>'2012 полн'!AF11</f>
        <v>5133.01</v>
      </c>
      <c r="H31" s="40">
        <f>'2012 полн'!AG11</f>
        <v>5179.012000000001</v>
      </c>
      <c r="I31" s="40">
        <f>'2012 полн'!AK11</f>
        <v>251.98700000000002</v>
      </c>
      <c r="J31" s="40">
        <f>'2012 полн'!AL11</f>
        <v>75.22000000000001</v>
      </c>
      <c r="K31" s="18">
        <f>'2012 полн'!AM11+'2012 полн'!AN11+'2012 полн'!AO11+'2012 полн'!AP11+'2012 полн'!AQ11+'2012 полн'!AR11+'2012 полн'!AS11+'2012 полн'!AT11+'2012 полн'!AX11</f>
        <v>115.74000000000001</v>
      </c>
      <c r="L31" s="19">
        <f>'2012 полн'!AU11+'2012 полн'!AV11+'2012 полн'!AW11</f>
        <v>0</v>
      </c>
      <c r="M31" s="19">
        <v>1</v>
      </c>
      <c r="N31" s="20">
        <f>'2012 полн'!BC11</f>
        <v>442.9470000000001</v>
      </c>
      <c r="O31" s="41">
        <f>'2012 полн'!BE11</f>
        <v>4736.0650000000005</v>
      </c>
      <c r="P31" s="41">
        <f>'2012 полн'!BF11</f>
        <v>2194.1600000000003</v>
      </c>
      <c r="Q31" s="1"/>
      <c r="R31" s="1"/>
    </row>
    <row r="32" spans="1:18" ht="12.75">
      <c r="A32" s="12" t="s">
        <v>47</v>
      </c>
      <c r="B32" s="127">
        <f>'2012 полн'!B12</f>
        <v>376.1</v>
      </c>
      <c r="C32" s="127">
        <f>'2012 полн'!C12</f>
        <v>2927.9385</v>
      </c>
      <c r="D32" s="127">
        <f>'2012 полн'!D12</f>
        <v>46.002</v>
      </c>
      <c r="E32" s="18">
        <f>'2012 полн'!U12</f>
        <v>2938.85</v>
      </c>
      <c r="F32" s="18">
        <f>'2012 полн'!V12</f>
        <v>0</v>
      </c>
      <c r="G32" s="40">
        <f>'2012 полн'!AF12</f>
        <v>5040.33</v>
      </c>
      <c r="H32" s="40">
        <f>'2012 полн'!AG12</f>
        <v>5086.332</v>
      </c>
      <c r="I32" s="40">
        <f>'2012 полн'!AK12</f>
        <v>251.98700000000002</v>
      </c>
      <c r="J32" s="40">
        <f>'2012 полн'!AL12</f>
        <v>75.22000000000001</v>
      </c>
      <c r="K32" s="18">
        <f>'2012 полн'!AM12+'2012 полн'!AN12+'2012 полн'!AO12+'2012 полн'!AP12+'2012 полн'!AQ12+'2012 полн'!AR12+'2012 полн'!AS12+'2012 полн'!AT12+'2012 полн'!AX12</f>
        <v>0</v>
      </c>
      <c r="L32" s="19">
        <f>'2012 полн'!AU12+'2012 полн'!AV12+'2012 полн'!AW12</f>
        <v>0</v>
      </c>
      <c r="M32" s="19">
        <v>2</v>
      </c>
      <c r="N32" s="20">
        <f>'2012 полн'!BC12</f>
        <v>327.20700000000005</v>
      </c>
      <c r="O32" s="41">
        <f>'2012 полн'!BE12</f>
        <v>4759.125</v>
      </c>
      <c r="P32" s="41">
        <f>'2012 полн'!BF12</f>
        <v>2101.48</v>
      </c>
      <c r="Q32" s="1"/>
      <c r="R32" s="1"/>
    </row>
    <row r="33" spans="1:18" ht="12.75">
      <c r="A33" s="12" t="s">
        <v>48</v>
      </c>
      <c r="B33" s="127">
        <f>'2012 полн'!B13</f>
        <v>373.1</v>
      </c>
      <c r="C33" s="127">
        <f>'2012 полн'!C13</f>
        <v>2904.5835000000006</v>
      </c>
      <c r="D33" s="127">
        <f>'2012 полн'!D13</f>
        <v>46.002</v>
      </c>
      <c r="E33" s="18">
        <f>'2012 полн'!U13</f>
        <v>2915.4800000000005</v>
      </c>
      <c r="F33" s="18">
        <f>'2012 полн'!V13</f>
        <v>0</v>
      </c>
      <c r="G33" s="40">
        <f>'2012 полн'!AF13</f>
        <v>693.1400000000001</v>
      </c>
      <c r="H33" s="40">
        <f>'2012 полн'!AG13</f>
        <v>739.142</v>
      </c>
      <c r="I33" s="40">
        <f>'2012 полн'!AK13</f>
        <v>249.97700000000003</v>
      </c>
      <c r="J33" s="40">
        <f>'2012 полн'!AL13</f>
        <v>74.62</v>
      </c>
      <c r="K33" s="18">
        <f>'2012 полн'!AM13+'2012 полн'!AN13+'2012 полн'!AO13+'2012 полн'!AP13+'2012 полн'!AQ13+'2012 полн'!AR13+'2012 полн'!AS13+'2012 полн'!AT13+'2012 полн'!AX13</f>
        <v>0</v>
      </c>
      <c r="L33" s="19">
        <f>'2012 полн'!AU13+'2012 полн'!AV13+'2012 полн'!AW13</f>
        <v>0</v>
      </c>
      <c r="M33" s="19">
        <v>3</v>
      </c>
      <c r="N33" s="20">
        <f>'2012 полн'!BC13</f>
        <v>324.59700000000004</v>
      </c>
      <c r="O33" s="41">
        <f>'2012 полн'!BE13</f>
        <v>414.545</v>
      </c>
      <c r="P33" s="41">
        <f>'2012 полн'!BF13</f>
        <v>-2222.34</v>
      </c>
      <c r="Q33" s="1"/>
      <c r="R33" s="1"/>
    </row>
    <row r="34" spans="1:18" ht="12.75">
      <c r="A34" s="12" t="s">
        <v>49</v>
      </c>
      <c r="B34" s="127">
        <f>'2012 полн'!B14</f>
        <v>373.1</v>
      </c>
      <c r="C34" s="127">
        <f>'2012 полн'!C14</f>
        <v>2904.5835000000006</v>
      </c>
      <c r="D34" s="127">
        <f>'2012 полн'!D14</f>
        <v>46.002</v>
      </c>
      <c r="E34" s="18">
        <f>'2012 полн'!U14</f>
        <v>2915.4800000000005</v>
      </c>
      <c r="F34" s="18">
        <f>'2012 полн'!V14</f>
        <v>0</v>
      </c>
      <c r="G34" s="40">
        <f>'2012 полн'!AF14</f>
        <v>4725.65</v>
      </c>
      <c r="H34" s="40">
        <f>'2012 полн'!AG14</f>
        <v>4771.652</v>
      </c>
      <c r="I34" s="40">
        <f>'2012 полн'!AK14</f>
        <v>249.97700000000003</v>
      </c>
      <c r="J34" s="40">
        <f>'2012 полн'!AL14</f>
        <v>74.62</v>
      </c>
      <c r="K34" s="18">
        <f>'2012 полн'!AM14+'2012 полн'!AN14+'2012 полн'!AO14+'2012 полн'!AP14+'2012 полн'!AQ14+'2012 полн'!AR14+'2012 полн'!AS14+'2012 полн'!AT14+'2012 полн'!AX14</f>
        <v>0</v>
      </c>
      <c r="L34" s="19">
        <f>'2012 полн'!AU14+'2012 полн'!AV14+'2012 полн'!AW14</f>
        <v>0</v>
      </c>
      <c r="M34" s="19">
        <v>4</v>
      </c>
      <c r="N34" s="20">
        <f>'2012 полн'!BC14</f>
        <v>324.59700000000004</v>
      </c>
      <c r="O34" s="41">
        <f>'2012 полн'!BE14</f>
        <v>4447.055</v>
      </c>
      <c r="P34" s="41">
        <f>'2012 полн'!BF14</f>
        <v>1810.1699999999992</v>
      </c>
      <c r="Q34" s="1"/>
      <c r="R34" s="1"/>
    </row>
    <row r="35" spans="1:18" ht="12.75">
      <c r="A35" s="12" t="s">
        <v>50</v>
      </c>
      <c r="B35" s="127">
        <f>'2012 полн'!B15</f>
        <v>373.1</v>
      </c>
      <c r="C35" s="127">
        <f>'2012 полн'!C15</f>
        <v>2904.5835000000006</v>
      </c>
      <c r="D35" s="127">
        <f>'2012 полн'!D15</f>
        <v>46.002</v>
      </c>
      <c r="E35" s="18">
        <f>'2012 полн'!U15</f>
        <v>2915.4800000000005</v>
      </c>
      <c r="F35" s="18">
        <f>'2012 полн'!V15</f>
        <v>0</v>
      </c>
      <c r="G35" s="40">
        <f>'2012 полн'!AF15</f>
        <v>1627.96</v>
      </c>
      <c r="H35" s="40">
        <f>'2012 полн'!AG15</f>
        <v>1673.962</v>
      </c>
      <c r="I35" s="40">
        <f>'2012 полн'!AK15</f>
        <v>249.97700000000003</v>
      </c>
      <c r="J35" s="40">
        <f>'2012 полн'!AL15</f>
        <v>74.62</v>
      </c>
      <c r="K35" s="18">
        <f>'2012 полн'!AM15+'2012 полн'!AN15+'2012 полн'!AO15+'2012 полн'!AP15+'2012 полн'!AQ15+'2012 полн'!AR15+'2012 полн'!AS15+'2012 полн'!AT15+'2012 полн'!AX15</f>
        <v>0</v>
      </c>
      <c r="L35" s="19">
        <f>'2012 полн'!AU15+'2012 полн'!AV15+'2012 полн'!AW15</f>
        <v>0</v>
      </c>
      <c r="M35" s="19">
        <v>5</v>
      </c>
      <c r="N35" s="20">
        <f>'2012 полн'!BC15</f>
        <v>324.59700000000004</v>
      </c>
      <c r="O35" s="41">
        <f>'2012 полн'!BE15</f>
        <v>1349.365</v>
      </c>
      <c r="P35" s="41">
        <f>'2012 полн'!BF15</f>
        <v>-1287.5200000000004</v>
      </c>
      <c r="Q35" s="1"/>
      <c r="R35" s="1"/>
    </row>
    <row r="36" spans="1:16" ht="12.75">
      <c r="A36" s="12" t="s">
        <v>51</v>
      </c>
      <c r="B36" s="127">
        <f>'2012 полн'!B16</f>
        <v>373.1</v>
      </c>
      <c r="C36" s="127">
        <f>'2012 полн'!C16</f>
        <v>2904.5835000000006</v>
      </c>
      <c r="D36" s="127">
        <f>'2012 полн'!D16</f>
        <v>46.002</v>
      </c>
      <c r="E36" s="18">
        <f>'2012 полн'!U16</f>
        <v>2915.4800000000005</v>
      </c>
      <c r="F36" s="18">
        <f>'2012 полн'!V16</f>
        <v>0</v>
      </c>
      <c r="G36" s="40">
        <f>'2012 полн'!AF16</f>
        <v>656.05</v>
      </c>
      <c r="H36" s="40">
        <f>'2012 полн'!AG16</f>
        <v>702.0519999999999</v>
      </c>
      <c r="I36" s="40">
        <f>'2012 полн'!AK16</f>
        <v>249.97700000000003</v>
      </c>
      <c r="J36" s="40">
        <f>'2012 полн'!AL16</f>
        <v>74.62</v>
      </c>
      <c r="K36" s="18">
        <f>'2012 полн'!AM16+'2012 полн'!AN16+'2012 полн'!AO16+'2012 полн'!AP16+'2012 полн'!AQ16+'2012 полн'!AR16+'2012 полн'!AS16+'2012 полн'!AT16+'2012 полн'!AX16</f>
        <v>0</v>
      </c>
      <c r="L36" s="19">
        <f>'2012 полн'!AU16+'2012 полн'!AV16+'2012 полн'!AW16</f>
        <v>0</v>
      </c>
      <c r="M36" s="19">
        <v>6</v>
      </c>
      <c r="N36" s="20">
        <f>'2012 полн'!BC16</f>
        <v>324.59700000000004</v>
      </c>
      <c r="O36" s="41">
        <f>'2012 полн'!BE16</f>
        <v>377.45499999999987</v>
      </c>
      <c r="P36" s="41">
        <f>'2012 полн'!BF16</f>
        <v>-2259.4300000000003</v>
      </c>
    </row>
    <row r="37" spans="1:16" ht="12.75">
      <c r="A37" s="12" t="s">
        <v>52</v>
      </c>
      <c r="B37" s="127">
        <f>'2012 полн'!B17</f>
        <v>373.1</v>
      </c>
      <c r="C37" s="127">
        <f>'2012 полн'!C17</f>
        <v>2904.5835000000006</v>
      </c>
      <c r="D37" s="127">
        <f>'2012 полн'!D17</f>
        <v>46.002</v>
      </c>
      <c r="E37" s="18">
        <f>'2012 полн'!U17</f>
        <v>2915.4800000000005</v>
      </c>
      <c r="F37" s="18">
        <f>'2012 полн'!V17</f>
        <v>0</v>
      </c>
      <c r="G37" s="40">
        <f>'2012 полн'!AF17</f>
        <v>3267.05</v>
      </c>
      <c r="H37" s="40">
        <f>'2012 полн'!AG17</f>
        <v>3313.052</v>
      </c>
      <c r="I37" s="40">
        <f>'2012 полн'!AK17</f>
        <v>249.97700000000003</v>
      </c>
      <c r="J37" s="40">
        <f>'2012 полн'!AL17</f>
        <v>74.62</v>
      </c>
      <c r="K37" s="18">
        <f>'2012 полн'!AM17+'2012 полн'!AN17+'2012 полн'!AO17+'2012 полн'!AP17+'2012 полн'!AQ17+'2012 полн'!AR17+'2012 полн'!AS17+'2012 полн'!AT17+'2012 полн'!AX17</f>
        <v>0</v>
      </c>
      <c r="L37" s="19">
        <f>'2012 полн'!AU17+'2012 полн'!AV17+'2012 полн'!AW17</f>
        <v>0</v>
      </c>
      <c r="M37" s="19">
        <v>7</v>
      </c>
      <c r="N37" s="20">
        <f>'2012 полн'!BC17</f>
        <v>324.59700000000004</v>
      </c>
      <c r="O37" s="41">
        <f>'2012 полн'!BE17</f>
        <v>2988.455</v>
      </c>
      <c r="P37" s="41">
        <f>'2012 полн'!BF17</f>
        <v>351.5699999999997</v>
      </c>
    </row>
    <row r="38" spans="1:16" ht="12.75">
      <c r="A38" s="12" t="s">
        <v>53</v>
      </c>
      <c r="B38" s="127">
        <f>'2012 полн'!B18</f>
        <v>373.1</v>
      </c>
      <c r="C38" s="127">
        <f>'2012 полн'!C18</f>
        <v>3227.3150000000005</v>
      </c>
      <c r="D38" s="127">
        <f>'2012 полн'!D18</f>
        <v>0</v>
      </c>
      <c r="E38" s="18">
        <f>'2012 полн'!U18</f>
        <v>3227.35</v>
      </c>
      <c r="F38" s="18">
        <f>'2012 полн'!V18</f>
        <v>0</v>
      </c>
      <c r="G38" s="40">
        <f>'2012 полн'!AF18</f>
        <v>2259.5099999999998</v>
      </c>
      <c r="H38" s="40">
        <f>'2012 полн'!AG18</f>
        <v>2259.5099999999998</v>
      </c>
      <c r="I38" s="40">
        <f>'2012 полн'!AK18</f>
        <v>249.97700000000003</v>
      </c>
      <c r="J38" s="40">
        <f>'2012 полн'!AL18</f>
        <v>74.62</v>
      </c>
      <c r="K38" s="18">
        <f>'2012 полн'!AM18+'2012 полн'!AN18+'2012 полн'!AO18+'2012 полн'!AP18+'2012 полн'!AQ18+'2012 полн'!AR18+'2012 полн'!AS18+'2012 полн'!AT18+'2012 полн'!AX18</f>
        <v>0</v>
      </c>
      <c r="L38" s="19">
        <f>'2012 полн'!AU18+'2012 полн'!AV18+'2012 полн'!AW18</f>
        <v>0</v>
      </c>
      <c r="M38" s="19">
        <v>8</v>
      </c>
      <c r="N38" s="20">
        <f>'2012 полн'!BC18</f>
        <v>324.59700000000004</v>
      </c>
      <c r="O38" s="41">
        <f>'2012 полн'!BE18</f>
        <v>1934.9129999999998</v>
      </c>
      <c r="P38" s="41">
        <f>'2012 полн'!BF18</f>
        <v>-967.8400000000001</v>
      </c>
    </row>
    <row r="39" spans="1:16" ht="12.75">
      <c r="A39" s="12" t="s">
        <v>41</v>
      </c>
      <c r="B39" s="127">
        <f>'2012 полн'!B19</f>
        <v>373.1</v>
      </c>
      <c r="C39" s="127">
        <f>'2012 полн'!C19</f>
        <v>3227.3150000000005</v>
      </c>
      <c r="D39" s="127">
        <f>'2012 полн'!D19</f>
        <v>0</v>
      </c>
      <c r="E39" s="18">
        <f>'2012 полн'!U19</f>
        <v>3227.35</v>
      </c>
      <c r="F39" s="18">
        <f>'2012 полн'!V19</f>
        <v>0</v>
      </c>
      <c r="G39" s="40">
        <f>'2012 полн'!AF19</f>
        <v>1830.27</v>
      </c>
      <c r="H39" s="40">
        <f>'2012 полн'!AG19</f>
        <v>1830.27</v>
      </c>
      <c r="I39" s="40">
        <f>'2012 полн'!AK19</f>
        <v>249.97700000000003</v>
      </c>
      <c r="J39" s="40">
        <f>'2012 полн'!AL19</f>
        <v>74.62</v>
      </c>
      <c r="K39" s="18">
        <f>'2012 полн'!AM19+'2012 полн'!AN19+'2012 полн'!AO19+'2012 полн'!AP19+'2012 полн'!AQ19+'2012 полн'!AR19+'2012 полн'!AS19+'2012 полн'!AT19+'2012 полн'!AX19</f>
        <v>0</v>
      </c>
      <c r="L39" s="19">
        <f>'2012 полн'!AU19+'2012 полн'!AV19+'2012 полн'!AW19</f>
        <v>0</v>
      </c>
      <c r="M39" s="19">
        <v>9</v>
      </c>
      <c r="N39" s="20">
        <f>'2012 полн'!BC19</f>
        <v>324.59700000000004</v>
      </c>
      <c r="O39" s="41">
        <f>'2012 полн'!BE19</f>
        <v>1505.673</v>
      </c>
      <c r="P39" s="41">
        <f>'2012 полн'!BF19</f>
        <v>-1397.08</v>
      </c>
    </row>
    <row r="40" spans="1:16" ht="12.75">
      <c r="A40" s="12" t="s">
        <v>42</v>
      </c>
      <c r="B40" s="127">
        <f>'2012 полн'!B20</f>
        <v>373.1</v>
      </c>
      <c r="C40" s="127">
        <f>'2012 полн'!C20</f>
        <v>1119.3000000000002</v>
      </c>
      <c r="D40" s="127">
        <f>'2012 полн'!D20</f>
        <v>0</v>
      </c>
      <c r="E40" s="18">
        <f>'2012 полн'!U20</f>
        <v>1119.3000000000002</v>
      </c>
      <c r="F40" s="18">
        <f>'2012 полн'!V20</f>
        <v>0</v>
      </c>
      <c r="G40" s="40">
        <f>'2012 полн'!AF20</f>
        <v>1245.28</v>
      </c>
      <c r="H40" s="40">
        <f>'2012 полн'!AG20</f>
        <v>1245.28</v>
      </c>
      <c r="I40" s="40">
        <f>'2012 полн'!AK20</f>
        <v>249.97700000000003</v>
      </c>
      <c r="J40" s="40">
        <f>'2012 полн'!AL20</f>
        <v>74.62</v>
      </c>
      <c r="K40" s="18">
        <f>'2012 полн'!AM20+'2012 полн'!AN20+'2012 полн'!AO20+'2012 полн'!AP20+'2012 полн'!AQ20+'2012 полн'!AR20+'2012 полн'!AS20+'2012 полн'!AT20+'2012 полн'!AX20</f>
        <v>0</v>
      </c>
      <c r="L40" s="19">
        <f>'2012 полн'!AU20+'2012 полн'!AV20+'2012 полн'!AW20</f>
        <v>0</v>
      </c>
      <c r="M40" s="19">
        <v>10</v>
      </c>
      <c r="N40" s="20">
        <f>'2012 полн'!BC20</f>
        <v>324.59700000000004</v>
      </c>
      <c r="O40" s="41">
        <f>'2012 полн'!BE20</f>
        <v>920.683</v>
      </c>
      <c r="P40" s="41">
        <f>'2012 полн'!BF20</f>
        <v>125.97999999999979</v>
      </c>
    </row>
    <row r="41" spans="1:16" ht="13.5" thickBot="1">
      <c r="A41" s="12" t="s">
        <v>43</v>
      </c>
      <c r="B41" s="127">
        <f>'2012 полн'!B21</f>
        <v>373.1</v>
      </c>
      <c r="C41" s="127">
        <f>'2012 полн'!C21</f>
        <v>1119.3000000000002</v>
      </c>
      <c r="D41" s="127">
        <f>'2012 полн'!D21</f>
        <v>0</v>
      </c>
      <c r="E41" s="18">
        <f>'2012 полн'!U21</f>
        <v>1119.3000000000002</v>
      </c>
      <c r="F41" s="18">
        <f>'2012 полн'!V21</f>
        <v>0</v>
      </c>
      <c r="G41" s="40">
        <f>'2012 полн'!AF21</f>
        <v>1800.5800000000002</v>
      </c>
      <c r="H41" s="40">
        <f>'2012 полн'!AG21</f>
        <v>1800.5800000000002</v>
      </c>
      <c r="I41" s="40">
        <f>'2012 полн'!AK21</f>
        <v>249.97700000000003</v>
      </c>
      <c r="J41" s="40">
        <f>'2012 полн'!AL21</f>
        <v>74.62</v>
      </c>
      <c r="K41" s="18">
        <f>'2012 полн'!AM21+'2012 полн'!AN21+'2012 полн'!AO21+'2012 полн'!AP21+'2012 полн'!AQ21+'2012 полн'!AR21+'2012 полн'!AS21+'2012 полн'!AT21+'2012 полн'!AX21</f>
        <v>0</v>
      </c>
      <c r="L41" s="19">
        <f>'2012 полн'!AU21+'2012 полн'!AV21+'2012 полн'!AW21+'2012 полн'!AX21</f>
        <v>0</v>
      </c>
      <c r="M41" s="19">
        <v>11</v>
      </c>
      <c r="N41" s="20">
        <f>'2012 полн'!BC21</f>
        <v>324.59700000000004</v>
      </c>
      <c r="O41" s="41">
        <f>'2012 полн'!BE21</f>
        <v>1475.9830000000002</v>
      </c>
      <c r="P41" s="41">
        <f>'2012 полн'!BF21</f>
        <v>681.28</v>
      </c>
    </row>
    <row r="42" spans="1:18" s="27" customFormat="1" ht="13.5" thickBot="1">
      <c r="A42" s="44" t="s">
        <v>5</v>
      </c>
      <c r="B42" s="45"/>
      <c r="C42" s="49">
        <f>SUM(C30:C41)</f>
        <v>31999.963000000003</v>
      </c>
      <c r="D42" s="49">
        <f>SUM(D30:D41)</f>
        <v>368.016</v>
      </c>
      <c r="E42" s="49">
        <f>SUM(E30:E41)</f>
        <v>32087.249999999993</v>
      </c>
      <c r="F42" s="49">
        <f>SUM(F30:F41)</f>
        <v>0</v>
      </c>
      <c r="G42" s="49">
        <f>SUM(G30:G41)</f>
        <v>28851.239999999998</v>
      </c>
      <c r="H42" s="49">
        <f aca="true" t="shared" si="2" ref="H42:P42">SUM(H30:H41)</f>
        <v>29219.256</v>
      </c>
      <c r="I42" s="49">
        <f t="shared" si="2"/>
        <v>3005.754</v>
      </c>
      <c r="J42" s="49">
        <f t="shared" si="2"/>
        <v>897.2400000000001</v>
      </c>
      <c r="K42" s="49">
        <f t="shared" si="2"/>
        <v>115.74000000000001</v>
      </c>
      <c r="L42" s="49">
        <f t="shared" si="2"/>
        <v>0</v>
      </c>
      <c r="M42" s="49">
        <f t="shared" si="2"/>
        <v>66</v>
      </c>
      <c r="N42" s="49">
        <f t="shared" si="2"/>
        <v>4018.7340000000017</v>
      </c>
      <c r="O42" s="49">
        <f t="shared" si="2"/>
        <v>25200.522</v>
      </c>
      <c r="P42" s="49">
        <f t="shared" si="2"/>
        <v>-3236.010000000002</v>
      </c>
      <c r="Q42" s="50"/>
      <c r="R42" s="50"/>
    </row>
    <row r="43" spans="1:18" ht="11.25" customHeight="1" thickBot="1">
      <c r="A43" s="475" t="s">
        <v>68</v>
      </c>
      <c r="B43" s="476"/>
      <c r="C43" s="476"/>
      <c r="D43" s="476"/>
      <c r="E43" s="476"/>
      <c r="F43" s="476"/>
      <c r="G43" s="476"/>
      <c r="H43" s="476"/>
      <c r="I43" s="476"/>
      <c r="J43" s="476"/>
      <c r="K43" s="476"/>
      <c r="L43" s="476"/>
      <c r="M43" s="476"/>
      <c r="N43" s="476"/>
      <c r="O43" s="476"/>
      <c r="P43" s="56"/>
      <c r="Q43" s="1"/>
      <c r="R43" s="1"/>
    </row>
    <row r="44" spans="1:18" s="27" customFormat="1" ht="13.5" thickBot="1">
      <c r="A44" s="57" t="s">
        <v>54</v>
      </c>
      <c r="B44" s="58"/>
      <c r="C44" s="59">
        <f>C42+C28</f>
        <v>119934.133</v>
      </c>
      <c r="D44" s="59">
        <f aca="true" t="shared" si="3" ref="D44:P44">D42+D28</f>
        <v>83580.25981670001</v>
      </c>
      <c r="E44" s="59">
        <f t="shared" si="3"/>
        <v>284437.68000000005</v>
      </c>
      <c r="F44" s="59">
        <f t="shared" si="3"/>
        <v>27311.909999999996</v>
      </c>
      <c r="G44" s="59">
        <f>G42+G28</f>
        <v>281412.06999999995</v>
      </c>
      <c r="H44" s="59">
        <f t="shared" si="3"/>
        <v>392304.23981669993</v>
      </c>
      <c r="I44" s="59">
        <f t="shared" si="3"/>
        <v>9014.898</v>
      </c>
      <c r="J44" s="59">
        <f t="shared" si="3"/>
        <v>2910.8188568</v>
      </c>
      <c r="K44" s="59">
        <f t="shared" si="3"/>
        <v>51979.548781899604</v>
      </c>
      <c r="L44" s="59">
        <f t="shared" si="3"/>
        <v>348883.50840000005</v>
      </c>
      <c r="M44" s="59">
        <f t="shared" si="3"/>
        <v>293482.03</v>
      </c>
      <c r="N44" s="59">
        <f t="shared" si="3"/>
        <v>412788.7740386995</v>
      </c>
      <c r="O44" s="59">
        <f t="shared" si="3"/>
        <v>-20484.628</v>
      </c>
      <c r="P44" s="59">
        <f t="shared" si="3"/>
        <v>-3025.6100000000006</v>
      </c>
      <c r="Q44" s="60"/>
      <c r="R44" s="50"/>
    </row>
    <row r="45" spans="1:18" ht="12.75">
      <c r="A45" s="8" t="s">
        <v>116</v>
      </c>
      <c r="B45" s="125"/>
      <c r="C45" s="51"/>
      <c r="D45" s="52"/>
      <c r="E45" s="53"/>
      <c r="F45" s="54"/>
      <c r="G45" s="55"/>
      <c r="H45" s="54"/>
      <c r="I45" s="55"/>
      <c r="J45" s="18"/>
      <c r="K45" s="18"/>
      <c r="L45" s="19"/>
      <c r="M45" s="126"/>
      <c r="N45" s="20"/>
      <c r="O45" s="41"/>
      <c r="P45" s="41"/>
      <c r="Q45" s="1"/>
      <c r="R45" s="1"/>
    </row>
    <row r="46" spans="1:18" ht="12.75">
      <c r="A46" s="12" t="s">
        <v>45</v>
      </c>
      <c r="B46" s="127">
        <f>'2012 полн'!B26</f>
        <v>373.1</v>
      </c>
      <c r="C46" s="127">
        <f>'2012 полн'!C26</f>
        <v>1119.3000000000002</v>
      </c>
      <c r="D46" s="127">
        <f>'2012 полн'!D26</f>
        <v>0</v>
      </c>
      <c r="E46" s="18">
        <f>'2012 полн'!U26</f>
        <v>1119.3000000000002</v>
      </c>
      <c r="F46" s="18">
        <f>'2012 полн'!V26</f>
        <v>0</v>
      </c>
      <c r="G46" s="40">
        <f>'2012 полн'!AF26</f>
        <v>513.6800000000001</v>
      </c>
      <c r="H46" s="40">
        <f>'2012 полн'!AG26</f>
        <v>513.6800000000001</v>
      </c>
      <c r="I46" s="40">
        <f>'2012 полн'!AK26</f>
        <v>298.48</v>
      </c>
      <c r="J46" s="40">
        <f>'2012 полн'!AL26</f>
        <v>74.62</v>
      </c>
      <c r="K46" s="18">
        <f>'2012 полн'!AM26+'2012 полн'!AN26+'2012 полн'!AO26+'2012 полн'!AP26+'2012 полн'!AQ26+'2012 полн'!AR26+'2012 полн'!AS26+'2012 полн'!AT26</f>
        <v>0</v>
      </c>
      <c r="L46" s="19">
        <f>'2012 полн'!AU26+'2012 полн'!AV26+'2012 полн'!AW26+'2012 полн'!AX26</f>
        <v>0</v>
      </c>
      <c r="M46" s="19">
        <v>0</v>
      </c>
      <c r="N46" s="20">
        <f>'2012 полн'!BC26</f>
        <v>373.1</v>
      </c>
      <c r="O46" s="41">
        <f>'2012 полн'!BE26</f>
        <v>140.58000000000004</v>
      </c>
      <c r="P46" s="41">
        <f>'2012 полн'!BF26</f>
        <v>-605.6200000000001</v>
      </c>
      <c r="Q46" s="1"/>
      <c r="R46" s="1"/>
    </row>
    <row r="47" spans="1:18" ht="12.75">
      <c r="A47" s="12" t="s">
        <v>46</v>
      </c>
      <c r="B47" s="127">
        <f>'2012 полн'!B27</f>
        <v>373.1</v>
      </c>
      <c r="C47" s="127">
        <f>'2012 полн'!C27</f>
        <v>1119.3000000000002</v>
      </c>
      <c r="D47" s="127">
        <f>'2012 полн'!D27</f>
        <v>0</v>
      </c>
      <c r="E47" s="18">
        <f>'2012 полн'!U27</f>
        <v>1119.3000000000002</v>
      </c>
      <c r="F47" s="18">
        <f>'2012 полн'!V27</f>
        <v>0</v>
      </c>
      <c r="G47" s="40">
        <f>'2012 полн'!AF27</f>
        <v>2169.9</v>
      </c>
      <c r="H47" s="40">
        <f>'2012 полн'!AG27</f>
        <v>2169.9</v>
      </c>
      <c r="I47" s="40">
        <f>'2012 полн'!AK27</f>
        <v>298.48</v>
      </c>
      <c r="J47" s="40">
        <f>'2012 полн'!AL27</f>
        <v>74.62</v>
      </c>
      <c r="K47" s="18">
        <f>'2012 полн'!AM27+'2012 полн'!AN27+'2012 полн'!AO27+'2012 полн'!AP27+'2012 полн'!AQ27+'2012 полн'!AR27+'2012 полн'!AS27+'2012 полн'!AT27</f>
        <v>0</v>
      </c>
      <c r="L47" s="19">
        <f>'2012 полн'!AU27+'2012 полн'!AV27+'2012 полн'!AW27+'2012 полн'!AX27</f>
        <v>0</v>
      </c>
      <c r="M47" s="19">
        <v>1</v>
      </c>
      <c r="N47" s="20">
        <f>'2012 полн'!BC27</f>
        <v>373.1</v>
      </c>
      <c r="O47" s="41">
        <f>'2012 полн'!BE27</f>
        <v>1796.8000000000002</v>
      </c>
      <c r="P47" s="41">
        <f>'2012 полн'!BF27</f>
        <v>1050.6</v>
      </c>
      <c r="Q47" s="1"/>
      <c r="R47" s="1"/>
    </row>
    <row r="48" spans="1:18" ht="12.75">
      <c r="A48" s="12" t="s">
        <v>47</v>
      </c>
      <c r="B48" s="127">
        <f>'2012 полн'!B28</f>
        <v>373.1</v>
      </c>
      <c r="C48" s="127">
        <f>'2012 полн'!C28</f>
        <v>1119.3000000000002</v>
      </c>
      <c r="D48" s="127">
        <f>'2012 полн'!D28</f>
        <v>0</v>
      </c>
      <c r="E48" s="18">
        <f>'2012 полн'!U28</f>
        <v>1119.3000000000002</v>
      </c>
      <c r="F48" s="18">
        <f>'2012 полн'!V28</f>
        <v>0</v>
      </c>
      <c r="G48" s="40">
        <f>'2012 полн'!AF28</f>
        <v>395.13</v>
      </c>
      <c r="H48" s="40">
        <f>'2012 полн'!AG28</f>
        <v>395.13</v>
      </c>
      <c r="I48" s="40">
        <f>'2012 полн'!AK28</f>
        <v>298.48</v>
      </c>
      <c r="J48" s="40">
        <f>'2012 полн'!AL28</f>
        <v>74.62</v>
      </c>
      <c r="K48" s="18">
        <f>'2012 полн'!AM28+'2012 полн'!AN28+'2012 полн'!AO28+'2012 полн'!AP28+'2012 полн'!AQ28+'2012 полн'!AR28+'2012 полн'!AS28+'2012 полн'!AT28</f>
        <v>0</v>
      </c>
      <c r="L48" s="19">
        <f>'2012 полн'!AU28+'2012 полн'!AV28+'2012 полн'!AW28+'2012 полн'!AX28</f>
        <v>0</v>
      </c>
      <c r="M48" s="19">
        <v>2</v>
      </c>
      <c r="N48" s="20">
        <f>'2012 полн'!BC28</f>
        <v>373.1</v>
      </c>
      <c r="O48" s="41">
        <f>'2012 полн'!BE28</f>
        <v>22.029999999999973</v>
      </c>
      <c r="P48" s="41">
        <f>'2012 полн'!BF28</f>
        <v>-724.1700000000002</v>
      </c>
      <c r="Q48" s="1"/>
      <c r="R48" s="1"/>
    </row>
    <row r="49" spans="1:18" ht="12.75">
      <c r="A49" s="12" t="s">
        <v>48</v>
      </c>
      <c r="B49" s="127">
        <f>'2012 полн'!B29</f>
        <v>373.1</v>
      </c>
      <c r="C49" s="127">
        <f>'2012 полн'!C29</f>
        <v>1119.3000000000002</v>
      </c>
      <c r="D49" s="127">
        <f>'2012 полн'!D29</f>
        <v>0</v>
      </c>
      <c r="E49" s="18">
        <f>'2012 полн'!U29</f>
        <v>1119.3000000000002</v>
      </c>
      <c r="F49" s="18">
        <f>'2012 полн'!V29</f>
        <v>0</v>
      </c>
      <c r="G49" s="40">
        <f>'2012 полн'!AF29</f>
        <v>440.26</v>
      </c>
      <c r="H49" s="40">
        <f>'2012 полн'!AG29</f>
        <v>440.26</v>
      </c>
      <c r="I49" s="40">
        <f>'2012 полн'!AK29</f>
        <v>298.48</v>
      </c>
      <c r="J49" s="40">
        <f>'2012 полн'!AL29</f>
        <v>74.62</v>
      </c>
      <c r="K49" s="18">
        <f>'2012 полн'!AM29+'2012 полн'!AN29+'2012 полн'!AO29+'2012 полн'!AP29+'2012 полн'!AQ29+'2012 полн'!AR29+'2012 полн'!AS29+'2012 полн'!AT29</f>
        <v>0</v>
      </c>
      <c r="L49" s="19">
        <f>'2012 полн'!AU29+'2012 полн'!AV29+'2012 полн'!AW29+'2012 полн'!AX29</f>
        <v>0</v>
      </c>
      <c r="M49" s="19">
        <v>3</v>
      </c>
      <c r="N49" s="20">
        <f>'2012 полн'!BC29</f>
        <v>373.1</v>
      </c>
      <c r="O49" s="41">
        <f>'2012 полн'!BE29</f>
        <v>67.15999999999997</v>
      </c>
      <c r="P49" s="41">
        <f>'2012 полн'!BF29</f>
        <v>-679.0400000000002</v>
      </c>
      <c r="Q49" s="1"/>
      <c r="R49" s="1"/>
    </row>
    <row r="50" spans="1:18" ht="12.75">
      <c r="A50" s="12" t="s">
        <v>49</v>
      </c>
      <c r="B50" s="127">
        <f>'2012 полн'!B30</f>
        <v>373.1</v>
      </c>
      <c r="C50" s="127">
        <f>'2012 полн'!C30</f>
        <v>1119.3000000000002</v>
      </c>
      <c r="D50" s="127">
        <f>'2012 полн'!D30</f>
        <v>0</v>
      </c>
      <c r="E50" s="18">
        <f>'2012 полн'!U30</f>
        <v>1119.3000000000002</v>
      </c>
      <c r="F50" s="18">
        <f>'2012 полн'!V30</f>
        <v>0</v>
      </c>
      <c r="G50" s="40">
        <f>'2012 полн'!AF30</f>
        <v>2672</v>
      </c>
      <c r="H50" s="40">
        <f>'2012 полн'!AG30</f>
        <v>2672</v>
      </c>
      <c r="I50" s="40">
        <f>'2012 полн'!AK30</f>
        <v>298.48</v>
      </c>
      <c r="J50" s="40">
        <f>'2012 полн'!AL30</f>
        <v>74.62</v>
      </c>
      <c r="K50" s="18">
        <f>'2012 полн'!AM30+'2012 полн'!AN30+'2012 полн'!AO30+'2012 полн'!AP30+'2012 полн'!AQ30+'2012 полн'!AR30+'2012 полн'!AS30+'2012 полн'!AT30</f>
        <v>0</v>
      </c>
      <c r="L50" s="19">
        <f>'2012 полн'!AU30+'2012 полн'!AV30+'2012 полн'!AW30+'2012 полн'!AX30</f>
        <v>0</v>
      </c>
      <c r="M50" s="19">
        <v>4</v>
      </c>
      <c r="N50" s="20">
        <f>'2012 полн'!BC30</f>
        <v>373.1</v>
      </c>
      <c r="O50" s="41">
        <f>'2012 полн'!BE30</f>
        <v>2298.9</v>
      </c>
      <c r="P50" s="41">
        <f>'2012 полн'!BF30</f>
        <v>1552.6999999999998</v>
      </c>
      <c r="Q50" s="1"/>
      <c r="R50" s="1"/>
    </row>
    <row r="51" spans="1:18" ht="12.75">
      <c r="A51" s="12" t="s">
        <v>50</v>
      </c>
      <c r="B51" s="127">
        <f>'2012 полн'!B31</f>
        <v>373.1</v>
      </c>
      <c r="C51" s="127">
        <f>'2012 полн'!C31</f>
        <v>1119.3000000000002</v>
      </c>
      <c r="D51" s="127">
        <f>'2012 полн'!D31</f>
        <v>0</v>
      </c>
      <c r="E51" s="18">
        <f>'2012 полн'!U31</f>
        <v>1119.3000000000002</v>
      </c>
      <c r="F51" s="18">
        <f>'2012 полн'!V31</f>
        <v>0</v>
      </c>
      <c r="G51" s="40">
        <f>'2012 полн'!AF31</f>
        <v>769.88</v>
      </c>
      <c r="H51" s="40">
        <f>'2012 полн'!AG31</f>
        <v>769.88</v>
      </c>
      <c r="I51" s="40">
        <f>'2012 полн'!AK31</f>
        <v>298.48</v>
      </c>
      <c r="J51" s="40">
        <f>'2012 полн'!AL31</f>
        <v>74.62</v>
      </c>
      <c r="K51" s="18">
        <f>'2012 полн'!AM31+'2012 полн'!AN31+'2012 полн'!AO31+'2012 полн'!AP31+'2012 полн'!AQ31+'2012 полн'!AR31+'2012 полн'!AS31+'2012 полн'!AT31</f>
        <v>0</v>
      </c>
      <c r="L51" s="19">
        <f>'2012 полн'!AU31+'2012 полн'!AV31+'2012 полн'!AW31+'2012 полн'!AX31</f>
        <v>0</v>
      </c>
      <c r="M51" s="19">
        <v>5</v>
      </c>
      <c r="N51" s="20">
        <f>'2012 полн'!BC31</f>
        <v>373.1</v>
      </c>
      <c r="O51" s="41">
        <f>'2012 полн'!BE31</f>
        <v>396.78</v>
      </c>
      <c r="P51" s="41">
        <f>'2012 полн'!BF31</f>
        <v>-349.4200000000002</v>
      </c>
      <c r="Q51" s="1"/>
      <c r="R51" s="1"/>
    </row>
    <row r="52" spans="1:16" ht="12.75">
      <c r="A52" s="12" t="s">
        <v>51</v>
      </c>
      <c r="B52" s="127">
        <f>'2012 полн'!B32</f>
        <v>373.1</v>
      </c>
      <c r="C52" s="127">
        <f>'2012 полн'!C32</f>
        <v>1119.3000000000002</v>
      </c>
      <c r="D52" s="127">
        <f>'2012 полн'!D32</f>
        <v>0</v>
      </c>
      <c r="E52" s="18">
        <f>'2012 полн'!U32</f>
        <v>1119.3000000000002</v>
      </c>
      <c r="F52" s="18">
        <f>'2012 полн'!V32</f>
        <v>0</v>
      </c>
      <c r="G52" s="40">
        <f>'2012 полн'!AF32</f>
        <v>495.03</v>
      </c>
      <c r="H52" s="40">
        <f>'2012 полн'!AG32</f>
        <v>495.03</v>
      </c>
      <c r="I52" s="40">
        <f>'2012 полн'!AK32</f>
        <v>373.1</v>
      </c>
      <c r="J52" s="40">
        <f>'2012 полн'!AL32</f>
        <v>74.62</v>
      </c>
      <c r="K52" s="18">
        <f>'2012 полн'!AM32+'2012 полн'!AN32+'2012 полн'!AO32+'2012 полн'!AP32+'2012 полн'!AQ32+'2012 полн'!AR32+'2012 полн'!AS32+'2012 полн'!AT32</f>
        <v>0</v>
      </c>
      <c r="L52" s="19">
        <f>'2012 полн'!AU32+'2012 полн'!AV32+'2012 полн'!AW32+'2012 полн'!AX32</f>
        <v>0</v>
      </c>
      <c r="M52" s="19">
        <v>6</v>
      </c>
      <c r="N52" s="20">
        <f>'2012 полн'!BC32</f>
        <v>447.72</v>
      </c>
      <c r="O52" s="41">
        <f>'2012 полн'!BE32</f>
        <v>47.309999999999945</v>
      </c>
      <c r="P52" s="41">
        <f>'2012 полн'!BF32</f>
        <v>-624.2700000000002</v>
      </c>
    </row>
    <row r="53" spans="1:16" ht="12.75">
      <c r="A53" s="12" t="s">
        <v>52</v>
      </c>
      <c r="B53" s="127">
        <f>'2012 полн'!B33</f>
        <v>373.1</v>
      </c>
      <c r="C53" s="127">
        <f>'2012 полн'!C33</f>
        <v>1119.3000000000002</v>
      </c>
      <c r="D53" s="127">
        <f>'2012 полн'!D33</f>
        <v>0</v>
      </c>
      <c r="E53" s="18">
        <f>'2012 полн'!U33</f>
        <v>1119.3000000000002</v>
      </c>
      <c r="F53" s="18">
        <f>'2012 полн'!V33</f>
        <v>0</v>
      </c>
      <c r="G53" s="40">
        <f>'2012 полн'!AF33</f>
        <v>941.5500000000001</v>
      </c>
      <c r="H53" s="40">
        <f>'2012 полн'!AG33</f>
        <v>941.5500000000001</v>
      </c>
      <c r="I53" s="40">
        <f>'2012 полн'!AK33</f>
        <v>373.1</v>
      </c>
      <c r="J53" s="40">
        <f>'2012 полн'!AL33</f>
        <v>74.62</v>
      </c>
      <c r="K53" s="18">
        <f>'2012 полн'!AM33+'2012 полн'!AN33+'2012 полн'!AO33+'2012 полн'!AP33+'2012 полн'!AQ33+'2012 полн'!AR33+'2012 полн'!AS33+'2012 полн'!AT33</f>
        <v>0</v>
      </c>
      <c r="L53" s="19">
        <f>'2012 полн'!AU33+'2012 полн'!AV33+'2012 полн'!AW33+'2012 полн'!AX33</f>
        <v>0</v>
      </c>
      <c r="M53" s="19">
        <v>7</v>
      </c>
      <c r="N53" s="20">
        <f>'2012 полн'!BC33</f>
        <v>447.72</v>
      </c>
      <c r="O53" s="41">
        <f>'2012 полн'!BE33</f>
        <v>493.83000000000004</v>
      </c>
      <c r="P53" s="41">
        <f>'2012 полн'!BF33</f>
        <v>-177.7500000000001</v>
      </c>
    </row>
    <row r="54" spans="1:16" ht="12.75">
      <c r="A54" s="12" t="s">
        <v>53</v>
      </c>
      <c r="B54" s="127">
        <f>'2012 полн'!B34</f>
        <v>373.1</v>
      </c>
      <c r="C54" s="127">
        <f>'2012 полн'!C34</f>
        <v>1119.3000000000002</v>
      </c>
      <c r="D54" s="127">
        <f>'2012 полн'!D34</f>
        <v>0</v>
      </c>
      <c r="E54" s="18">
        <f>'2012 полн'!U34</f>
        <v>1119.3000000000002</v>
      </c>
      <c r="F54" s="18">
        <f>'2012 полн'!V34</f>
        <v>0</v>
      </c>
      <c r="G54" s="40">
        <f>'2012 полн'!AF34</f>
        <v>1694.0299999999997</v>
      </c>
      <c r="H54" s="40">
        <f>'2012 полн'!AG34</f>
        <v>1694.0299999999997</v>
      </c>
      <c r="I54" s="40">
        <f>'2012 полн'!AK34</f>
        <v>373.1</v>
      </c>
      <c r="J54" s="40">
        <f>'2012 полн'!AL34</f>
        <v>74.62</v>
      </c>
      <c r="K54" s="18">
        <f>'2012 полн'!AM34+'2012 полн'!AN34+'2012 полн'!AO34+'2012 полн'!AP34+'2012 полн'!AQ34+'2012 полн'!AR34+'2012 полн'!AS34+'2012 полн'!AT34</f>
        <v>0</v>
      </c>
      <c r="L54" s="19">
        <f>'2012 полн'!AU34+'2012 полн'!AV34+'2012 полн'!AW34+'2012 полн'!AX34</f>
        <v>0</v>
      </c>
      <c r="M54" s="19">
        <v>8</v>
      </c>
      <c r="N54" s="20">
        <f>'2012 полн'!BC34</f>
        <v>447.72</v>
      </c>
      <c r="O54" s="41">
        <f>'2012 полн'!BE34</f>
        <v>1246.3099999999997</v>
      </c>
      <c r="P54" s="41">
        <f>'2012 полн'!BF34</f>
        <v>574.7299999999996</v>
      </c>
    </row>
    <row r="55" spans="1:16" ht="12.75">
      <c r="A55" s="12" t="s">
        <v>41</v>
      </c>
      <c r="B55" s="127">
        <f>'2012 полн'!B35</f>
        <v>373.1</v>
      </c>
      <c r="C55" s="127">
        <f>'2012 полн'!C35</f>
        <v>1119.3000000000002</v>
      </c>
      <c r="D55" s="127">
        <f>'2012 полн'!D35</f>
        <v>0</v>
      </c>
      <c r="E55" s="18">
        <f>'2012 полн'!U35</f>
        <v>1119.3000000000002</v>
      </c>
      <c r="F55" s="18">
        <f>'2012 полн'!V35</f>
        <v>0</v>
      </c>
      <c r="G55" s="40">
        <f>'2012 полн'!AF35</f>
        <v>783.29</v>
      </c>
      <c r="H55" s="40">
        <f>'2012 полн'!AG35</f>
        <v>783.29</v>
      </c>
      <c r="I55" s="40">
        <f>'2012 полн'!AK35</f>
        <v>373.1</v>
      </c>
      <c r="J55" s="40">
        <f>'2012 полн'!AL35</f>
        <v>74.62</v>
      </c>
      <c r="K55" s="18">
        <f>'2012 полн'!AM35+'2012 полн'!AN35+'2012 полн'!AO35+'2012 полн'!AP35+'2012 полн'!AQ35+'2012 полн'!AR35+'2012 полн'!AS35+'2012 полн'!AT35</f>
        <v>0</v>
      </c>
      <c r="L55" s="19">
        <f>'2012 полн'!AU35+'2012 полн'!AV35+'2012 полн'!AW35+'2012 полн'!AX35</f>
        <v>0</v>
      </c>
      <c r="M55" s="19">
        <v>9</v>
      </c>
      <c r="N55" s="20">
        <f>'2012 полн'!BC35</f>
        <v>447.72</v>
      </c>
      <c r="O55" s="41">
        <f>'2012 полн'!BE35</f>
        <v>335.56999999999994</v>
      </c>
      <c r="P55" s="41">
        <f>'2012 полн'!BF35</f>
        <v>-336.0100000000002</v>
      </c>
    </row>
    <row r="56" spans="1:16" ht="12.75">
      <c r="A56" s="12" t="s">
        <v>42</v>
      </c>
      <c r="B56" s="127">
        <f>'2012 полн'!B36</f>
        <v>373.1</v>
      </c>
      <c r="C56" s="127">
        <f>'2012 полн'!C36</f>
        <v>1119.3000000000002</v>
      </c>
      <c r="D56" s="127">
        <f>'2012 полн'!D36</f>
        <v>0</v>
      </c>
      <c r="E56" s="18">
        <f>'2012 полн'!U36</f>
        <v>1119.3000000000002</v>
      </c>
      <c r="F56" s="18">
        <f>'2012 полн'!V36</f>
        <v>0</v>
      </c>
      <c r="G56" s="40">
        <f>'2012 полн'!AF36</f>
        <v>931.6100000000001</v>
      </c>
      <c r="H56" s="40">
        <f>'2012 полн'!AG36</f>
        <v>931.6100000000001</v>
      </c>
      <c r="I56" s="40">
        <f>'2012 полн'!AK36</f>
        <v>373.1</v>
      </c>
      <c r="J56" s="40">
        <f>'2012 полн'!AL36</f>
        <v>74.62</v>
      </c>
      <c r="K56" s="18">
        <f>'2012 полн'!AM36+'2012 полн'!AN36+'2012 полн'!AO36+'2012 полн'!AP36+'2012 полн'!AQ36+'2012 полн'!AR36+'2012 полн'!AS36+'2012 полн'!AT36</f>
        <v>0</v>
      </c>
      <c r="L56" s="19">
        <f>'2012 полн'!AU36+'2012 полн'!AV36+'2012 полн'!AW36+'2012 полн'!AX36</f>
        <v>0</v>
      </c>
      <c r="M56" s="19">
        <v>10</v>
      </c>
      <c r="N56" s="20">
        <f>'2012 полн'!BC36</f>
        <v>447.72</v>
      </c>
      <c r="O56" s="41">
        <f>'2012 полн'!BE36</f>
        <v>483.8900000000001</v>
      </c>
      <c r="P56" s="41">
        <f>'2012 полн'!BF36</f>
        <v>-187.69000000000005</v>
      </c>
    </row>
    <row r="57" spans="1:16" ht="13.5" thickBot="1">
      <c r="A57" s="12" t="s">
        <v>43</v>
      </c>
      <c r="B57" s="127">
        <f>'2012 полн'!B37</f>
        <v>373.1</v>
      </c>
      <c r="C57" s="127">
        <f>'2012 полн'!C37</f>
        <v>1119.3000000000002</v>
      </c>
      <c r="D57" s="127">
        <f>'2012 полн'!D37</f>
        <v>0</v>
      </c>
      <c r="E57" s="18">
        <f>'2012 полн'!U37</f>
        <v>1119.3000000000002</v>
      </c>
      <c r="F57" s="18">
        <f>'2012 полн'!V37</f>
        <v>0</v>
      </c>
      <c r="G57" s="40">
        <f>'2012 полн'!AF37</f>
        <v>556.79</v>
      </c>
      <c r="H57" s="40">
        <f>'2012 полн'!AG37</f>
        <v>556.79</v>
      </c>
      <c r="I57" s="40">
        <f>'2012 полн'!AK37</f>
        <v>373.1</v>
      </c>
      <c r="J57" s="40">
        <f>'2012 полн'!AL37</f>
        <v>74.62</v>
      </c>
      <c r="K57" s="18">
        <f>'2012 полн'!AM37+'2012 полн'!AN37+'2012 полн'!AO37+'2012 полн'!AP37+'2012 полн'!AQ37+'2012 полн'!AR37+'2012 полн'!AS37+'2012 полн'!AT37</f>
        <v>0</v>
      </c>
      <c r="L57" s="19">
        <f>'2012 полн'!AU37+'2012 полн'!AV37+'2012 полн'!AW37+'2012 полн'!AX37</f>
        <v>0</v>
      </c>
      <c r="M57" s="19">
        <v>11</v>
      </c>
      <c r="N57" s="20">
        <f>'2012 полн'!BC37</f>
        <v>447.72</v>
      </c>
      <c r="O57" s="41">
        <f>'2012 полн'!BE37</f>
        <v>109.06999999999994</v>
      </c>
      <c r="P57" s="41">
        <f>'2012 полн'!BF37</f>
        <v>-562.5100000000002</v>
      </c>
    </row>
    <row r="58" spans="1:18" s="27" customFormat="1" ht="12.75" customHeight="1" thickBot="1">
      <c r="A58" s="44" t="s">
        <v>5</v>
      </c>
      <c r="B58" s="45"/>
      <c r="C58" s="49">
        <f>SUM(C46:C57)</f>
        <v>13431.599999999999</v>
      </c>
      <c r="D58" s="49">
        <f>SUM(D46:D57)</f>
        <v>0</v>
      </c>
      <c r="E58" s="49">
        <f>SUM(E46:E57)</f>
        <v>13431.599999999999</v>
      </c>
      <c r="F58" s="49">
        <f>SUM(F46:F57)</f>
        <v>0</v>
      </c>
      <c r="G58" s="49">
        <f>SUM(G46:G57)</f>
        <v>12363.150000000001</v>
      </c>
      <c r="H58" s="49">
        <f aca="true" t="shared" si="4" ref="H58:P58">SUM(H46:H57)</f>
        <v>12363.150000000001</v>
      </c>
      <c r="I58" s="49">
        <f t="shared" si="4"/>
        <v>4029.4799999999996</v>
      </c>
      <c r="J58" s="49">
        <f t="shared" si="4"/>
        <v>895.44</v>
      </c>
      <c r="K58" s="49">
        <f t="shared" si="4"/>
        <v>0</v>
      </c>
      <c r="L58" s="49">
        <f t="shared" si="4"/>
        <v>0</v>
      </c>
      <c r="M58" s="49">
        <f t="shared" si="4"/>
        <v>66</v>
      </c>
      <c r="N58" s="49">
        <f t="shared" si="4"/>
        <v>4924.920000000001</v>
      </c>
      <c r="O58" s="49">
        <f t="shared" si="4"/>
        <v>7438.229999999999</v>
      </c>
      <c r="P58" s="49">
        <f t="shared" si="4"/>
        <v>-1068.450000000002</v>
      </c>
      <c r="Q58" s="50"/>
      <c r="R58" s="50"/>
    </row>
    <row r="59" spans="1:18" ht="11.25" customHeight="1" thickBot="1">
      <c r="A59" s="475" t="s">
        <v>68</v>
      </c>
      <c r="B59" s="476"/>
      <c r="C59" s="476"/>
      <c r="D59" s="476"/>
      <c r="E59" s="476"/>
      <c r="F59" s="476"/>
      <c r="G59" s="476"/>
      <c r="H59" s="476"/>
      <c r="I59" s="476"/>
      <c r="J59" s="476"/>
      <c r="K59" s="476"/>
      <c r="L59" s="476"/>
      <c r="M59" s="476"/>
      <c r="N59" s="476"/>
      <c r="O59" s="476"/>
      <c r="P59" s="56"/>
      <c r="Q59" s="1"/>
      <c r="R59" s="1"/>
    </row>
    <row r="60" spans="1:18" s="27" customFormat="1" ht="13.5" thickBot="1">
      <c r="A60" s="57" t="s">
        <v>54</v>
      </c>
      <c r="B60" s="58"/>
      <c r="C60" s="59">
        <f>C58+C44</f>
        <v>133365.733</v>
      </c>
      <c r="D60" s="59">
        <f>D58+D44</f>
        <v>83580.25981670001</v>
      </c>
      <c r="E60" s="59">
        <f>E58+E44</f>
        <v>297869.28</v>
      </c>
      <c r="F60" s="59">
        <f>F58+F44</f>
        <v>27311.909999999996</v>
      </c>
      <c r="G60" s="59">
        <f>G58+G44</f>
        <v>293775.22</v>
      </c>
      <c r="H60" s="59">
        <f aca="true" t="shared" si="5" ref="H60:P60">H58+H44</f>
        <v>404667.38981669996</v>
      </c>
      <c r="I60" s="59">
        <f t="shared" si="5"/>
        <v>13044.377999999999</v>
      </c>
      <c r="J60" s="59">
        <f t="shared" si="5"/>
        <v>3806.2588568</v>
      </c>
      <c r="K60" s="59">
        <f t="shared" si="5"/>
        <v>51979.548781899604</v>
      </c>
      <c r="L60" s="59">
        <f t="shared" si="5"/>
        <v>348883.50840000005</v>
      </c>
      <c r="M60" s="59">
        <f t="shared" si="5"/>
        <v>293548.03</v>
      </c>
      <c r="N60" s="59">
        <f t="shared" si="5"/>
        <v>417713.6940386995</v>
      </c>
      <c r="O60" s="59">
        <f t="shared" si="5"/>
        <v>-13046.398000000001</v>
      </c>
      <c r="P60" s="59">
        <f t="shared" si="5"/>
        <v>-4094.0600000000027</v>
      </c>
      <c r="Q60" s="60"/>
      <c r="R60" s="50"/>
    </row>
    <row r="61" ht="6" customHeight="1"/>
    <row r="62" spans="1:18" ht="12.75">
      <c r="A62" s="27" t="s">
        <v>111</v>
      </c>
      <c r="D62" s="128" t="s">
        <v>117</v>
      </c>
      <c r="Q62" s="1"/>
      <c r="R62" s="1"/>
    </row>
    <row r="63" spans="1:18" ht="12.75">
      <c r="A63" s="31" t="s">
        <v>69</v>
      </c>
      <c r="B63" s="31" t="s">
        <v>70</v>
      </c>
      <c r="C63" s="477" t="s">
        <v>71</v>
      </c>
      <c r="D63" s="478"/>
      <c r="Q63" s="1"/>
      <c r="R63" s="1"/>
    </row>
    <row r="64" spans="1:18" ht="12.75">
      <c r="A64" s="134">
        <v>38103.11</v>
      </c>
      <c r="B64" s="135">
        <v>13261</v>
      </c>
      <c r="C64" s="112">
        <f>A64-B64</f>
        <v>24842.11</v>
      </c>
      <c r="D64" s="136"/>
      <c r="F64" s="2" t="s">
        <v>72</v>
      </c>
      <c r="L64" s="2" t="s">
        <v>73</v>
      </c>
      <c r="Q64" s="1"/>
      <c r="R64" s="1"/>
    </row>
    <row r="65" spans="1:18" ht="12.75">
      <c r="A65" s="61"/>
      <c r="Q65" s="1"/>
      <c r="R65" s="1"/>
    </row>
    <row r="66" spans="17:18" ht="12.75">
      <c r="Q66" s="1"/>
      <c r="R66" s="1"/>
    </row>
  </sheetData>
  <sheetProtection/>
  <mergeCells count="27">
    <mergeCell ref="A59:O59"/>
    <mergeCell ref="C63:D63"/>
    <mergeCell ref="A27:O27"/>
    <mergeCell ref="A43:O43"/>
    <mergeCell ref="G8:H9"/>
    <mergeCell ref="I8:N9"/>
    <mergeCell ref="O8:O11"/>
    <mergeCell ref="C8:C11"/>
    <mergeCell ref="D8:D11"/>
    <mergeCell ref="E8:F9"/>
    <mergeCell ref="P8:P11"/>
    <mergeCell ref="H10:H11"/>
    <mergeCell ref="I10:I11"/>
    <mergeCell ref="J10:J11"/>
    <mergeCell ref="K10:K11"/>
    <mergeCell ref="L10:L11"/>
    <mergeCell ref="M10:M11"/>
    <mergeCell ref="N10:N11"/>
    <mergeCell ref="A7:D7"/>
    <mergeCell ref="E7:F7"/>
    <mergeCell ref="A8:A11"/>
    <mergeCell ref="B8:B11"/>
    <mergeCell ref="B1:H1"/>
    <mergeCell ref="B2:H2"/>
    <mergeCell ref="A5:O5"/>
    <mergeCell ref="A6:G6"/>
    <mergeCell ref="E10:F10"/>
  </mergeCells>
  <printOptions/>
  <pageMargins left="0.2362204724409449" right="0.15748031496062992" top="0.2755905511811024" bottom="0.2755905511811024" header="0.196850393700787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2013-02-08T07:40:17Z</cp:lastPrinted>
  <dcterms:created xsi:type="dcterms:W3CDTF">2010-04-03T04:08:20Z</dcterms:created>
  <dcterms:modified xsi:type="dcterms:W3CDTF">2013-03-24T12:31:17Z</dcterms:modified>
  <cp:category/>
  <cp:version/>
  <cp:contentType/>
  <cp:contentStatus/>
</cp:coreProperties>
</file>