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4"/>
  </bookViews>
  <sheets>
    <sheet name="Лист1" sheetId="1" r:id="rId1"/>
    <sheet name="2008-2009" sheetId="2" r:id="rId2"/>
    <sheet name="2010" sheetId="3" r:id="rId3"/>
    <sheet name="2012 полн" sheetId="4" r:id="rId4"/>
    <sheet name="2012 печат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 refMode="R1C1"/>
</workbook>
</file>

<file path=xl/sharedStrings.xml><?xml version="1.0" encoding="utf-8"?>
<sst xmlns="http://schemas.openxmlformats.org/spreadsheetml/2006/main" count="402" uniqueCount="132">
  <si>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</si>
  <si>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</si>
  <si>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</si>
  <si>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</si>
  <si>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</si>
  <si>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</si>
  <si>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</si>
  <si>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</si>
  <si>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</si>
  <si>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</si>
  <si>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</si>
  <si>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</si>
  <si>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</si>
  <si>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</si>
  <si>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</si>
  <si>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</si>
  <si>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</si>
  <si>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</si>
  <si>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</si>
  <si>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</si>
  <si>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</si>
  <si>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</si>
  <si>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</si>
  <si>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</si>
  <si>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</si>
  <si>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</si>
  <si>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</si>
  <si>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</si>
  <si>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</si>
  <si>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</si>
  <si>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</si>
  <si>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</si>
  <si>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</si>
  <si>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</si>
  <si>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</si>
  <si>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</si>
  <si>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</si>
  <si>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</si>
  <si>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</si>
  <si>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</si>
  <si>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</si>
  <si>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</si>
  <si>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</si>
  <si>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</si>
  <si>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</si>
  <si>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</si>
  <si>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</si>
  <si>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</si>
  <si>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</si>
  <si>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</si>
  <si>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</si>
  <si>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</si>
  <si>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</si>
  <si>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</si>
  <si>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</si>
  <si>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</si>
  <si>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</si>
  <si>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за период с октября 2008 г. по декабрь 2009 г.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</si>
  <si>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</si>
  <si>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</si>
  <si>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</si>
  <si>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</si>
  <si>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</si>
  <si>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</si>
  <si>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</si>
  <si>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</si>
  <si>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</si>
  <si>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</si>
  <si>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</si>
  <si>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</si>
  <si>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</si>
  <si>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</si>
  <si>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</si>
  <si>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</si>
  <si>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</si>
  <si>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</si>
  <si>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*по состоянию на 01.01.2010 г.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</si>
  <si>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</si>
  <si>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</si>
  <si>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</si>
  <si>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</si>
  <si>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</si>
  <si>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</si>
  <si>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</si>
  <si>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</si>
  <si>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</si>
  <si>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</si>
  <si>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</si>
  <si>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</si>
  <si>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8 марта, д. 1</t>
  </si>
  <si>
    <t>Лицевой счет по адресу г. Таштагол, ул. 8 марта, д. 1</t>
  </si>
  <si>
    <t>от населения по содержанию и тек.рем.</t>
  </si>
  <si>
    <t>2010 год</t>
  </si>
  <si>
    <t>за период с 1 января 2010 г. по 31 декабря 2010 г.</t>
  </si>
  <si>
    <t>*по состоянию на 01.01.2011 г.</t>
  </si>
  <si>
    <t>ИТОГО на 31.12.2009</t>
  </si>
  <si>
    <t xml:space="preserve">Доходы от нежилых помещений </t>
  </si>
  <si>
    <t>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</si>
  <si>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</si>
  <si>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</si>
  <si>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</si>
  <si>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</si>
  <si>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2011 год</t>
  </si>
  <si>
    <t>*по состоянию на 01.01.2012 г.</t>
  </si>
  <si>
    <t>Исп. В.В. Колмогорова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</si>
  <si>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</si>
  <si>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</si>
  <si>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</si>
  <si>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</si>
  <si>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</si>
  <si>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</si>
  <si>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</si>
  <si>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</si>
  <si>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</si>
  <si>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</si>
  <si>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</si>
  <si>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</si>
  <si>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</si>
  <si>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</si>
  <si>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</si>
  <si>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</si>
  <si>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</si>
  <si>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</si>
  <si>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</si>
  <si>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</si>
  <si>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</si>
  <si>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</si>
  <si>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Выписка по лицевому счету по адресу г. Таштагол ул. 8 Марта, д.1</t>
  </si>
  <si>
    <t>2012 год</t>
  </si>
  <si>
    <t>на 01.01.2013 г.</t>
  </si>
  <si>
    <t>4,76-лифты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</si>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</sst>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7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35" borderId="34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19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2" fillId="38" borderId="13" xfId="34" applyNumberFormat="1" applyFont="1" applyFill="1" applyBorder="1" applyAlignment="1">
      <alignment horizontal="center" vertical="center" wrapText="1"/>
      <protection/>
    </xf>
    <xf numFmtId="4" fontId="1" fillId="0" borderId="36" xfId="0" applyNumberFormat="1" applyFont="1" applyFill="1" applyBorder="1" applyAlignment="1">
      <alignment horizontal="right" wrapText="1"/>
    </xf>
    <xf numFmtId="2" fontId="7" fillId="0" borderId="17" xfId="61" applyNumberFormat="1" applyFont="1" applyFill="1" applyBorder="1" applyAlignment="1">
      <alignment horizontal="right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2" fontId="0" fillId="0" borderId="19" xfId="0" applyNumberFormat="1" applyFont="1" applyFill="1" applyBorder="1" applyAlignment="1">
      <alignment horizontal="right"/>
    </xf>
    <xf numFmtId="2" fontId="0" fillId="0" borderId="3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35" borderId="30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30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35" borderId="30" xfId="0" applyFont="1" applyFill="1" applyBorder="1" applyAlignment="1">
      <alignment/>
    </xf>
    <xf numFmtId="0" fontId="11" fillId="0" borderId="34" xfId="0" applyFont="1" applyBorder="1" applyAlignment="1">
      <alignment wrapText="1"/>
    </xf>
    <xf numFmtId="2" fontId="12" fillId="34" borderId="13" xfId="0" applyNumberFormat="1" applyFont="1" applyFill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42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" fontId="0" fillId="0" borderId="3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36" borderId="34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5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64" xfId="0" applyFont="1" applyFill="1" applyBorder="1" applyAlignment="1">
      <alignment horizontal="center" textRotation="90"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 wrapText="1"/>
    </xf>
    <xf numFmtId="0" fontId="1" fillId="39" borderId="70" xfId="0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0" fontId="1" fillId="0" borderId="7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9" borderId="66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textRotation="90" wrapText="1"/>
    </xf>
    <xf numFmtId="0" fontId="1" fillId="0" borderId="55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textRotation="90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ill="1" applyBorder="1" applyAlignment="1">
      <alignment horizontal="right" wrapText="1"/>
    </xf>
    <xf numFmtId="4" fontId="0" fillId="0" borderId="13" xfId="0" applyNumberFormat="1" applyFont="1" applyBorder="1" applyAlignment="1">
      <alignment horizontal="center"/>
    </xf>
    <xf numFmtId="4" fontId="2" fillId="34" borderId="42" xfId="0" applyNumberFormat="1" applyFont="1" applyFill="1" applyBorder="1" applyAlignment="1">
      <alignment horizontal="right" wrapText="1"/>
    </xf>
    <xf numFmtId="4" fontId="30" fillId="0" borderId="34" xfId="34" applyNumberFormat="1" applyFont="1" applyFill="1" applyBorder="1" applyAlignment="1">
      <alignment horizontal="center" vertical="center" wrapText="1"/>
      <protection/>
    </xf>
    <xf numFmtId="164" fontId="2" fillId="33" borderId="11" xfId="0" applyNumberFormat="1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2" fontId="12" fillId="33" borderId="11" xfId="0" applyNumberFormat="1" applyFont="1" applyFill="1" applyBorder="1" applyAlignment="1">
      <alignment horizontal="center"/>
    </xf>
    <xf numFmtId="4" fontId="0" fillId="4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51;&#1048;&#1062;%20&#1057;&#1063;&#1045;&#1058;&#1040;%203%20&#1082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D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61">
          <cell r="I161">
            <v>114</v>
          </cell>
          <cell r="R161">
            <v>28.5</v>
          </cell>
        </row>
      </sheetData>
      <sheetData sheetId="1">
        <row r="161">
          <cell r="S161">
            <v>28.5</v>
          </cell>
        </row>
        <row r="162">
          <cell r="J162">
            <v>114</v>
          </cell>
        </row>
      </sheetData>
      <sheetData sheetId="2">
        <row r="163">
          <cell r="J163">
            <v>114</v>
          </cell>
          <cell r="S163">
            <v>28.5</v>
          </cell>
        </row>
      </sheetData>
      <sheetData sheetId="3">
        <row r="164">
          <cell r="S164">
            <v>28.5</v>
          </cell>
        </row>
      </sheetData>
      <sheetData sheetId="4">
        <row r="162">
          <cell r="J162">
            <v>114</v>
          </cell>
          <cell r="S162">
            <v>28.5</v>
          </cell>
        </row>
      </sheetData>
      <sheetData sheetId="5">
        <row r="162">
          <cell r="J162">
            <v>114</v>
          </cell>
          <cell r="S162">
            <v>28.5</v>
          </cell>
        </row>
      </sheetData>
      <sheetData sheetId="6">
        <row r="167">
          <cell r="J167">
            <v>114</v>
          </cell>
          <cell r="S167">
            <v>28.5</v>
          </cell>
        </row>
      </sheetData>
      <sheetData sheetId="7">
        <row r="170">
          <cell r="J170">
            <v>114</v>
          </cell>
          <cell r="S170">
            <v>28.5</v>
          </cell>
        </row>
      </sheetData>
      <sheetData sheetId="8">
        <row r="170">
          <cell r="J170">
            <v>114</v>
          </cell>
        </row>
      </sheetData>
      <sheetData sheetId="9">
        <row r="170">
          <cell r="J170">
            <v>114</v>
          </cell>
          <cell r="S170">
            <v>28.5</v>
          </cell>
        </row>
      </sheetData>
      <sheetData sheetId="10">
        <row r="170">
          <cell r="J170">
            <v>114</v>
          </cell>
          <cell r="S170">
            <v>28.5</v>
          </cell>
        </row>
      </sheetData>
      <sheetData sheetId="11">
        <row r="151">
          <cell r="J151">
            <v>600</v>
          </cell>
          <cell r="S151">
            <v>150</v>
          </cell>
        </row>
        <row r="194">
          <cell r="J194">
            <v>114</v>
          </cell>
          <cell r="S194">
            <v>28.5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64">
          <cell r="J164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49">
          <cell r="J149">
            <v>0</v>
          </cell>
          <cell r="S149">
            <v>0</v>
          </cell>
        </row>
        <row r="192">
          <cell r="J192">
            <v>114</v>
          </cell>
          <cell r="S192">
            <v>28.5</v>
          </cell>
        </row>
      </sheetData>
      <sheetData sheetId="2">
        <row r="150">
          <cell r="J150">
            <v>300</v>
          </cell>
          <cell r="S150">
            <v>75</v>
          </cell>
        </row>
        <row r="193">
          <cell r="J193">
            <v>114</v>
          </cell>
          <cell r="S193">
            <v>28.5</v>
          </cell>
        </row>
      </sheetData>
      <sheetData sheetId="3">
        <row r="150">
          <cell r="J150">
            <v>100</v>
          </cell>
          <cell r="S150">
            <v>25</v>
          </cell>
        </row>
        <row r="193">
          <cell r="J193">
            <v>114</v>
          </cell>
          <cell r="S193">
            <v>28.5</v>
          </cell>
        </row>
      </sheetData>
      <sheetData sheetId="4">
        <row r="150">
          <cell r="J150">
            <v>100</v>
          </cell>
        </row>
        <row r="199">
          <cell r="J199">
            <v>114</v>
          </cell>
        </row>
      </sheetData>
      <sheetData sheetId="5">
        <row r="151">
          <cell r="J151">
            <v>100</v>
          </cell>
          <cell r="S151">
            <v>25</v>
          </cell>
        </row>
        <row r="230">
          <cell r="J230">
            <v>114</v>
          </cell>
          <cell r="S230">
            <v>28.5</v>
          </cell>
        </row>
      </sheetData>
      <sheetData sheetId="6">
        <row r="153">
          <cell r="J153">
            <v>100</v>
          </cell>
          <cell r="S153">
            <v>25</v>
          </cell>
        </row>
        <row r="232">
          <cell r="J232">
            <v>114</v>
          </cell>
          <cell r="S232">
            <v>28.5</v>
          </cell>
        </row>
      </sheetData>
      <sheetData sheetId="7">
        <row r="153">
          <cell r="J153">
            <v>100</v>
          </cell>
          <cell r="S153">
            <v>25</v>
          </cell>
        </row>
        <row r="232">
          <cell r="J232">
            <v>114</v>
          </cell>
          <cell r="S232">
            <v>28.5</v>
          </cell>
        </row>
        <row r="315">
          <cell r="J315">
            <v>1200</v>
          </cell>
          <cell r="S315">
            <v>300</v>
          </cell>
        </row>
      </sheetData>
      <sheetData sheetId="8">
        <row r="156">
          <cell r="J156">
            <v>100</v>
          </cell>
          <cell r="S156">
            <v>25</v>
          </cell>
        </row>
        <row r="232">
          <cell r="J232">
            <v>114</v>
          </cell>
          <cell r="S232">
            <v>28.5</v>
          </cell>
        </row>
        <row r="315">
          <cell r="J315">
            <v>400</v>
          </cell>
          <cell r="S315">
            <v>100</v>
          </cell>
        </row>
      </sheetData>
      <sheetData sheetId="9">
        <row r="155">
          <cell r="J155">
            <v>100</v>
          </cell>
          <cell r="S155">
            <v>25</v>
          </cell>
        </row>
        <row r="231">
          <cell r="J231">
            <v>114</v>
          </cell>
          <cell r="S231">
            <v>28.5</v>
          </cell>
        </row>
        <row r="314">
          <cell r="J314">
            <v>400</v>
          </cell>
          <cell r="S314">
            <v>100</v>
          </cell>
        </row>
      </sheetData>
      <sheetData sheetId="10">
        <row r="157">
          <cell r="J157">
            <v>100</v>
          </cell>
          <cell r="S157">
            <v>25</v>
          </cell>
        </row>
        <row r="233">
          <cell r="J233">
            <v>114</v>
          </cell>
          <cell r="S233">
            <v>28.5</v>
          </cell>
        </row>
        <row r="316">
          <cell r="J316">
            <v>400</v>
          </cell>
          <cell r="S316">
            <v>100</v>
          </cell>
        </row>
      </sheetData>
      <sheetData sheetId="11">
        <row r="159">
          <cell r="J159">
            <v>100</v>
          </cell>
          <cell r="S159">
            <v>25</v>
          </cell>
        </row>
        <row r="235">
          <cell r="J235">
            <v>114</v>
          </cell>
          <cell r="S235">
            <v>28.5</v>
          </cell>
        </row>
        <row r="318">
          <cell r="J318">
            <v>400</v>
          </cell>
          <cell r="S318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 для сч-фактур"/>
      <sheetName val="Таштагол 07"/>
      <sheetName val="Таштагол 08"/>
      <sheetName val="Таштагол 09"/>
      <sheetName val="Шалым 07"/>
      <sheetName val="Шалым 08"/>
      <sheetName val="Шалым 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P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Y42" activeCellId="2" sqref="AG42:AU42 AX42 AY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375" style="2" customWidth="1"/>
    <col min="14" max="14" width="9.125" style="2" customWidth="1"/>
    <col min="15" max="15" width="10.125" style="2" bestFit="1" customWidth="1"/>
    <col min="16" max="16" width="9.125" style="2" customWidth="1"/>
    <col min="17" max="17" width="10.125" style="2" customWidth="1"/>
    <col min="18" max="18" width="9.375" style="2" customWidth="1"/>
    <col min="19" max="19" width="11.875" style="2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1.75390625" style="2" customWidth="1"/>
    <col min="44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3" width="10.125" style="2" bestFit="1" customWidth="1"/>
    <col min="54" max="54" width="11.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44" t="s">
        <v>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45" t="s">
        <v>0</v>
      </c>
      <c r="B3" s="248" t="s">
        <v>1</v>
      </c>
      <c r="C3" s="248" t="s">
        <v>2</v>
      </c>
      <c r="D3" s="248" t="s">
        <v>3</v>
      </c>
      <c r="E3" s="251" t="s">
        <v>4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66" t="s">
        <v>5</v>
      </c>
      <c r="T3" s="266"/>
      <c r="U3" s="267" t="s">
        <v>6</v>
      </c>
      <c r="V3" s="267"/>
      <c r="W3" s="267"/>
      <c r="X3" s="267"/>
      <c r="Y3" s="267"/>
      <c r="Z3" s="267"/>
      <c r="AA3" s="267"/>
      <c r="AB3" s="267"/>
      <c r="AC3" s="269" t="s">
        <v>87</v>
      </c>
      <c r="AD3" s="269" t="s">
        <v>8</v>
      </c>
      <c r="AE3" s="272" t="s">
        <v>9</v>
      </c>
      <c r="AF3" s="288" t="s">
        <v>74</v>
      </c>
      <c r="AG3" s="291" t="s">
        <v>10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60" t="s">
        <v>75</v>
      </c>
      <c r="BD3" s="263" t="s">
        <v>11</v>
      </c>
      <c r="BE3" s="253" t="s">
        <v>12</v>
      </c>
    </row>
    <row r="4" spans="1:57" ht="36" customHeight="1" thickBot="1">
      <c r="A4" s="246"/>
      <c r="B4" s="249"/>
      <c r="C4" s="249"/>
      <c r="D4" s="249"/>
      <c r="E4" s="252" t="s">
        <v>13</v>
      </c>
      <c r="F4" s="252"/>
      <c r="G4" s="252" t="s">
        <v>14</v>
      </c>
      <c r="H4" s="252"/>
      <c r="I4" s="252" t="s">
        <v>15</v>
      </c>
      <c r="J4" s="252"/>
      <c r="K4" s="252" t="s">
        <v>16</v>
      </c>
      <c r="L4" s="252"/>
      <c r="M4" s="252" t="s">
        <v>17</v>
      </c>
      <c r="N4" s="252"/>
      <c r="O4" s="252" t="s">
        <v>18</v>
      </c>
      <c r="P4" s="252"/>
      <c r="Q4" s="252" t="s">
        <v>19</v>
      </c>
      <c r="R4" s="252"/>
      <c r="S4" s="252"/>
      <c r="T4" s="252"/>
      <c r="U4" s="268"/>
      <c r="V4" s="268"/>
      <c r="W4" s="268"/>
      <c r="X4" s="268"/>
      <c r="Y4" s="268"/>
      <c r="Z4" s="268"/>
      <c r="AA4" s="268"/>
      <c r="AB4" s="268"/>
      <c r="AC4" s="270"/>
      <c r="AD4" s="270"/>
      <c r="AE4" s="273"/>
      <c r="AF4" s="289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61"/>
      <c r="BD4" s="264"/>
      <c r="BE4" s="254"/>
    </row>
    <row r="5" spans="1:57" ht="29.25" customHeight="1" thickBot="1">
      <c r="A5" s="246"/>
      <c r="B5" s="249"/>
      <c r="C5" s="249"/>
      <c r="D5" s="249"/>
      <c r="E5" s="275" t="s">
        <v>20</v>
      </c>
      <c r="F5" s="275" t="s">
        <v>21</v>
      </c>
      <c r="G5" s="275" t="s">
        <v>20</v>
      </c>
      <c r="H5" s="275" t="s">
        <v>21</v>
      </c>
      <c r="I5" s="275" t="s">
        <v>20</v>
      </c>
      <c r="J5" s="275" t="s">
        <v>21</v>
      </c>
      <c r="K5" s="275" t="s">
        <v>20</v>
      </c>
      <c r="L5" s="275" t="s">
        <v>21</v>
      </c>
      <c r="M5" s="275" t="s">
        <v>20</v>
      </c>
      <c r="N5" s="275" t="s">
        <v>21</v>
      </c>
      <c r="O5" s="275" t="s">
        <v>20</v>
      </c>
      <c r="P5" s="275" t="s">
        <v>21</v>
      </c>
      <c r="Q5" s="275" t="s">
        <v>20</v>
      </c>
      <c r="R5" s="275" t="s">
        <v>21</v>
      </c>
      <c r="S5" s="275" t="s">
        <v>20</v>
      </c>
      <c r="T5" s="275" t="s">
        <v>21</v>
      </c>
      <c r="U5" s="277" t="s">
        <v>22</v>
      </c>
      <c r="V5" s="277" t="s">
        <v>23</v>
      </c>
      <c r="W5" s="277" t="s">
        <v>24</v>
      </c>
      <c r="X5" s="277" t="s">
        <v>25</v>
      </c>
      <c r="Y5" s="277" t="s">
        <v>26</v>
      </c>
      <c r="Z5" s="277" t="s">
        <v>27</v>
      </c>
      <c r="AA5" s="277" t="s">
        <v>28</v>
      </c>
      <c r="AB5" s="277" t="s">
        <v>29</v>
      </c>
      <c r="AC5" s="270"/>
      <c r="AD5" s="270"/>
      <c r="AE5" s="273"/>
      <c r="AF5" s="289"/>
      <c r="AG5" s="256" t="s">
        <v>30</v>
      </c>
      <c r="AH5" s="256" t="s">
        <v>31</v>
      </c>
      <c r="AI5" s="256" t="s">
        <v>32</v>
      </c>
      <c r="AJ5" s="256" t="s">
        <v>33</v>
      </c>
      <c r="AK5" s="256" t="s">
        <v>34</v>
      </c>
      <c r="AL5" s="256" t="s">
        <v>33</v>
      </c>
      <c r="AM5" s="256" t="s">
        <v>35</v>
      </c>
      <c r="AN5" s="256" t="s">
        <v>33</v>
      </c>
      <c r="AO5" s="256" t="s">
        <v>36</v>
      </c>
      <c r="AP5" s="256" t="s">
        <v>33</v>
      </c>
      <c r="AQ5" s="284" t="s">
        <v>80</v>
      </c>
      <c r="AR5" s="286" t="s">
        <v>33</v>
      </c>
      <c r="AS5" s="258" t="s">
        <v>81</v>
      </c>
      <c r="AT5" s="279" t="s">
        <v>82</v>
      </c>
      <c r="AU5" s="279" t="s">
        <v>33</v>
      </c>
      <c r="AV5" s="281" t="s">
        <v>83</v>
      </c>
      <c r="AW5" s="282"/>
      <c r="AX5" s="283"/>
      <c r="AY5" s="256" t="s">
        <v>19</v>
      </c>
      <c r="AZ5" s="256" t="s">
        <v>38</v>
      </c>
      <c r="BA5" s="256" t="s">
        <v>33</v>
      </c>
      <c r="BB5" s="256" t="s">
        <v>39</v>
      </c>
      <c r="BC5" s="261"/>
      <c r="BD5" s="264"/>
      <c r="BE5" s="254"/>
    </row>
    <row r="6" spans="1:57" ht="54" customHeight="1" thickBot="1">
      <c r="A6" s="247"/>
      <c r="B6" s="250"/>
      <c r="C6" s="250"/>
      <c r="D6" s="250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8"/>
      <c r="V6" s="278"/>
      <c r="W6" s="278"/>
      <c r="X6" s="278"/>
      <c r="Y6" s="278"/>
      <c r="Z6" s="278"/>
      <c r="AA6" s="278"/>
      <c r="AB6" s="278"/>
      <c r="AC6" s="271"/>
      <c r="AD6" s="271"/>
      <c r="AE6" s="274"/>
      <c r="AF6" s="290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85"/>
      <c r="AR6" s="287"/>
      <c r="AS6" s="259"/>
      <c r="AT6" s="280"/>
      <c r="AU6" s="280"/>
      <c r="AV6" s="100" t="s">
        <v>84</v>
      </c>
      <c r="AW6" s="100" t="s">
        <v>85</v>
      </c>
      <c r="AX6" s="100" t="s">
        <v>86</v>
      </c>
      <c r="AY6" s="257"/>
      <c r="AZ6" s="257"/>
      <c r="BA6" s="257"/>
      <c r="BB6" s="257"/>
      <c r="BC6" s="262"/>
      <c r="BD6" s="265"/>
      <c r="BE6" s="25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5"/>
      <c r="AT8" s="45"/>
      <c r="AU8" s="45"/>
      <c r="AV8" s="45"/>
      <c r="AW8" s="45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88">
        <v>7438.4</v>
      </c>
      <c r="C9" s="89">
        <f>B9*8.65</f>
        <v>64342.159999999996</v>
      </c>
      <c r="D9" s="90">
        <f>C9*0.24088</f>
        <v>15498.7395008</v>
      </c>
      <c r="E9" s="77">
        <v>5281.06</v>
      </c>
      <c r="F9" s="77">
        <v>855.35</v>
      </c>
      <c r="G9" s="77">
        <v>7129.55</v>
      </c>
      <c r="H9" s="77">
        <v>1154.73</v>
      </c>
      <c r="I9" s="77">
        <v>17163.55</v>
      </c>
      <c r="J9" s="77">
        <v>2779.9</v>
      </c>
      <c r="K9" s="77">
        <v>11882.51</v>
      </c>
      <c r="L9" s="77">
        <v>1924.55</v>
      </c>
      <c r="M9" s="77">
        <v>4224.85</v>
      </c>
      <c r="N9" s="77">
        <v>684.3</v>
      </c>
      <c r="O9" s="77">
        <v>0</v>
      </c>
      <c r="P9" s="77">
        <v>0</v>
      </c>
      <c r="Q9" s="77">
        <v>0</v>
      </c>
      <c r="R9" s="77">
        <v>0</v>
      </c>
      <c r="S9" s="77">
        <f>E9+G9+I9+K9+M9+O9+Q9</f>
        <v>45681.52</v>
      </c>
      <c r="T9" s="91">
        <f>P9+N9+L9+J9+H9+F9+R9</f>
        <v>7398.83</v>
      </c>
      <c r="U9" s="77">
        <v>65.79</v>
      </c>
      <c r="V9" s="77">
        <v>88.83</v>
      </c>
      <c r="W9" s="77">
        <v>213.83</v>
      </c>
      <c r="X9" s="77">
        <v>148.04</v>
      </c>
      <c r="Y9" s="77">
        <v>52.64</v>
      </c>
      <c r="Z9" s="92">
        <v>0</v>
      </c>
      <c r="AA9" s="92">
        <v>0</v>
      </c>
      <c r="AB9" s="92">
        <f>SUM(U9:AA9)</f>
        <v>569.13</v>
      </c>
      <c r="AC9" s="93">
        <f>D9+T9+AB9</f>
        <v>23466.6995008</v>
      </c>
      <c r="AD9" s="94">
        <f>P9+Z9</f>
        <v>0</v>
      </c>
      <c r="AE9" s="86">
        <f>R9+AA9</f>
        <v>0</v>
      </c>
      <c r="AF9" s="86"/>
      <c r="AG9" s="16">
        <f>0.6*B9</f>
        <v>4463.04</v>
      </c>
      <c r="AH9" s="16">
        <f>B9*0.2*1.05826+0.01</f>
        <v>1574.3622368000001</v>
      </c>
      <c r="AI9" s="16">
        <f>0.8518*B9</f>
        <v>6336.02912</v>
      </c>
      <c r="AJ9" s="16">
        <f>AI9*0.18</f>
        <v>1140.4852415999999</v>
      </c>
      <c r="AK9" s="16">
        <f>1.04*B9*0.9531</f>
        <v>7373.1206016</v>
      </c>
      <c r="AL9" s="16">
        <f>AK9*0.18</f>
        <v>1327.161708288</v>
      </c>
      <c r="AM9" s="16">
        <f>(1.91)*B9*0.9531</f>
        <v>13541.019566399998</v>
      </c>
      <c r="AN9" s="16">
        <f>AM9*0.18</f>
        <v>2437.3835219519997</v>
      </c>
      <c r="AO9" s="16"/>
      <c r="AP9" s="16">
        <f>AO9*0.18</f>
        <v>0</v>
      </c>
      <c r="AQ9" s="16"/>
      <c r="AR9" s="16"/>
      <c r="AS9" s="81">
        <v>7030.81</v>
      </c>
      <c r="AT9" s="81"/>
      <c r="AU9" s="46">
        <f>AS9*0.18</f>
        <v>1265.5458</v>
      </c>
      <c r="AV9" s="46"/>
      <c r="AW9" s="46"/>
      <c r="AX9" s="30">
        <v>0</v>
      </c>
      <c r="AY9" s="30">
        <v>0</v>
      </c>
      <c r="AZ9" s="30">
        <v>0</v>
      </c>
      <c r="BA9" s="14">
        <f>AZ9*0.18</f>
        <v>0</v>
      </c>
      <c r="BB9" s="14">
        <f>SUM(AG9:BA9)</f>
        <v>46488.95779663999</v>
      </c>
      <c r="BC9" s="14">
        <v>0</v>
      </c>
      <c r="BD9" s="14">
        <f>AC9-BB9</f>
        <v>-23022.258295839987</v>
      </c>
      <c r="BE9" s="29">
        <f>AB9-S9</f>
        <v>-45112.39</v>
      </c>
    </row>
    <row r="10" spans="1:57" ht="12.75">
      <c r="A10" s="11" t="s">
        <v>42</v>
      </c>
      <c r="B10" s="88">
        <v>7438.4</v>
      </c>
      <c r="C10" s="89">
        <f>B10*8.65</f>
        <v>64342.159999999996</v>
      </c>
      <c r="D10" s="90">
        <f>C10*0.24088</f>
        <v>15498.7395008</v>
      </c>
      <c r="E10" s="77">
        <v>5149.31</v>
      </c>
      <c r="F10" s="77">
        <v>861.36</v>
      </c>
      <c r="G10" s="77">
        <v>6951.56</v>
      </c>
      <c r="H10" s="77">
        <v>1162.87</v>
      </c>
      <c r="I10" s="77">
        <v>16735.25</v>
      </c>
      <c r="J10" s="77">
        <v>2799.43</v>
      </c>
      <c r="K10" s="77">
        <v>14057.93</v>
      </c>
      <c r="L10" s="77">
        <v>2333.43</v>
      </c>
      <c r="M10" s="77">
        <v>4119.41</v>
      </c>
      <c r="N10" s="77">
        <v>689.09</v>
      </c>
      <c r="O10" s="77">
        <v>0</v>
      </c>
      <c r="P10" s="77">
        <v>0</v>
      </c>
      <c r="Q10" s="77">
        <v>0</v>
      </c>
      <c r="R10" s="77">
        <v>0</v>
      </c>
      <c r="S10" s="77">
        <f>E10+G10+I10+K10+M10+O10+Q10</f>
        <v>47013.46000000001</v>
      </c>
      <c r="T10" s="91">
        <f>P10+N10+L10+J10+H10+F10+R10</f>
        <v>7846.179999999999</v>
      </c>
      <c r="U10" s="77">
        <v>3592.66</v>
      </c>
      <c r="V10" s="77">
        <v>4850.43</v>
      </c>
      <c r="W10" s="77">
        <v>11886.68</v>
      </c>
      <c r="X10" s="77">
        <v>8083.45</v>
      </c>
      <c r="Y10" s="77">
        <v>2874.06</v>
      </c>
      <c r="Z10" s="92">
        <v>0</v>
      </c>
      <c r="AA10" s="92">
        <v>0</v>
      </c>
      <c r="AB10" s="95">
        <f>SUM(U10:AA10)</f>
        <v>31287.280000000002</v>
      </c>
      <c r="AC10" s="96">
        <f>D10+T10+AB10</f>
        <v>54632.1995008</v>
      </c>
      <c r="AD10" s="86">
        <f>P10+Z10</f>
        <v>0</v>
      </c>
      <c r="AE10" s="86">
        <f>R10+AA10</f>
        <v>0</v>
      </c>
      <c r="AF10" s="86"/>
      <c r="AG10" s="16">
        <f>0.6*B10</f>
        <v>4463.04</v>
      </c>
      <c r="AH10" s="16">
        <f>B10*0.201+1</f>
        <v>1496.1184</v>
      </c>
      <c r="AI10" s="16">
        <f>0.8518*B10</f>
        <v>6336.02912</v>
      </c>
      <c r="AJ10" s="16">
        <f>AI10*0.18</f>
        <v>1140.4852415999999</v>
      </c>
      <c r="AK10" s="16">
        <f>1.04*B10*0.9531</f>
        <v>7373.1206016</v>
      </c>
      <c r="AL10" s="16">
        <f>AK10*0.18</f>
        <v>1327.161708288</v>
      </c>
      <c r="AM10" s="16">
        <f>(1.91)*B10*0.9531</f>
        <v>13541.019566399998</v>
      </c>
      <c r="AN10" s="16">
        <f>AM10*0.18</f>
        <v>2437.3835219519997</v>
      </c>
      <c r="AO10" s="16"/>
      <c r="AP10" s="16">
        <f>AO10*0.18</f>
        <v>0</v>
      </c>
      <c r="AQ10" s="16"/>
      <c r="AR10" s="16"/>
      <c r="AS10" s="81">
        <v>12615</v>
      </c>
      <c r="AT10" s="81"/>
      <c r="AU10" s="46">
        <f>AS10*0.18</f>
        <v>2270.7</v>
      </c>
      <c r="AV10" s="46"/>
      <c r="AW10" s="46"/>
      <c r="AX10" s="30">
        <v>0</v>
      </c>
      <c r="AY10" s="30">
        <v>0</v>
      </c>
      <c r="AZ10" s="30">
        <v>0</v>
      </c>
      <c r="BA10" s="14">
        <f>AZ10*0.18</f>
        <v>0</v>
      </c>
      <c r="BB10" s="14">
        <f>SUM(AG10:BA10)</f>
        <v>53000.05815983999</v>
      </c>
      <c r="BC10" s="14">
        <v>0</v>
      </c>
      <c r="BD10" s="14">
        <f>AC10-BB10</f>
        <v>1632.1413409600136</v>
      </c>
      <c r="BE10" s="29">
        <f>AB10-S10</f>
        <v>-15726.180000000004</v>
      </c>
    </row>
    <row r="11" spans="1:57" ht="12.75">
      <c r="A11" s="11" t="s">
        <v>43</v>
      </c>
      <c r="B11" s="88">
        <v>7438.4</v>
      </c>
      <c r="C11" s="89">
        <f>B11*8.65</f>
        <v>64342.159999999996</v>
      </c>
      <c r="D11" s="90">
        <f>C11*0.24035</f>
        <v>15464.638155999999</v>
      </c>
      <c r="E11" s="77">
        <v>5274.12</v>
      </c>
      <c r="F11" s="77">
        <v>890.85</v>
      </c>
      <c r="G11" s="77">
        <v>7120.08</v>
      </c>
      <c r="H11" s="77">
        <v>1202.66</v>
      </c>
      <c r="I11" s="77">
        <v>17089.02</v>
      </c>
      <c r="J11" s="77">
        <v>2895.28</v>
      </c>
      <c r="K11" s="77">
        <v>11866.83</v>
      </c>
      <c r="L11" s="77">
        <v>2004.42</v>
      </c>
      <c r="M11" s="77">
        <v>4219.24</v>
      </c>
      <c r="N11" s="92">
        <v>712.68</v>
      </c>
      <c r="O11" s="92">
        <v>0</v>
      </c>
      <c r="P11" s="92">
        <v>0</v>
      </c>
      <c r="Q11" s="92">
        <v>0</v>
      </c>
      <c r="R11" s="92">
        <v>0</v>
      </c>
      <c r="S11" s="77">
        <f>E11+G11+I11+K11+M11+O11+Q11</f>
        <v>45569.29</v>
      </c>
      <c r="T11" s="91">
        <f>P11+N11+L11+J11+H11+F11+R11</f>
        <v>7705.89</v>
      </c>
      <c r="U11" s="77">
        <v>6093.96</v>
      </c>
      <c r="V11" s="77">
        <v>8226.55</v>
      </c>
      <c r="W11" s="77">
        <v>19746.32</v>
      </c>
      <c r="X11" s="77">
        <v>13711.49</v>
      </c>
      <c r="Y11" s="77">
        <v>4873.72</v>
      </c>
      <c r="Z11" s="92">
        <v>0</v>
      </c>
      <c r="AA11" s="92">
        <v>0</v>
      </c>
      <c r="AB11" s="95">
        <f>SUM(U11:AA11)</f>
        <v>52652.04</v>
      </c>
      <c r="AC11" s="96">
        <f>D11+T11+AB11</f>
        <v>75822.568156</v>
      </c>
      <c r="AD11" s="86">
        <f>P11+Z11</f>
        <v>0</v>
      </c>
      <c r="AE11" s="86">
        <f>R11+AA11</f>
        <v>0</v>
      </c>
      <c r="AF11" s="86"/>
      <c r="AG11" s="16">
        <f>0.6*B11</f>
        <v>4463.04</v>
      </c>
      <c r="AH11" s="16">
        <f>B11*0.2*1.02524-0.01</f>
        <v>1525.2190432</v>
      </c>
      <c r="AI11" s="16">
        <f>0.84932*B11-0.1</f>
        <v>6317.481887999999</v>
      </c>
      <c r="AJ11" s="16">
        <f>AI11*0.18</f>
        <v>1137.1467398399998</v>
      </c>
      <c r="AK11" s="16">
        <f>1.04*B11*0.95033</f>
        <v>7351.692058879999</v>
      </c>
      <c r="AL11" s="16">
        <f>AK11*0.18</f>
        <v>1323.3045705983998</v>
      </c>
      <c r="AM11" s="16">
        <f>(1.91)*B11*0.95033-0.1</f>
        <v>13501.56522352</v>
      </c>
      <c r="AN11" s="16">
        <f>AM11*0.18</f>
        <v>2430.2817402336</v>
      </c>
      <c r="AO11" s="16"/>
      <c r="AP11" s="16">
        <f>AO11*0.18</f>
        <v>0</v>
      </c>
      <c r="AQ11" s="16"/>
      <c r="AR11" s="16"/>
      <c r="AS11" s="81">
        <v>3610</v>
      </c>
      <c r="AT11" s="81"/>
      <c r="AU11" s="46">
        <f>AS11*0.18</f>
        <v>649.8</v>
      </c>
      <c r="AV11" s="46"/>
      <c r="AW11" s="46"/>
      <c r="AX11" s="30">
        <v>0</v>
      </c>
      <c r="AY11" s="30">
        <v>0</v>
      </c>
      <c r="AZ11" s="30">
        <v>0</v>
      </c>
      <c r="BA11" s="14">
        <f>AZ11*0.18</f>
        <v>0</v>
      </c>
      <c r="BB11" s="14">
        <f>SUM(AG11:BA11)</f>
        <v>42309.531264272</v>
      </c>
      <c r="BC11" s="14">
        <v>0</v>
      </c>
      <c r="BD11" s="14">
        <f>AC11-BB11</f>
        <v>33513.03689172799</v>
      </c>
      <c r="BE11" s="29">
        <f>AB11-S11</f>
        <v>7082.75</v>
      </c>
    </row>
    <row r="12" spans="1:57" s="20" customFormat="1" ht="15" customHeight="1">
      <c r="A12" s="17" t="s">
        <v>5</v>
      </c>
      <c r="B12" s="56"/>
      <c r="C12" s="56">
        <f aca="true" t="shared" si="0" ref="C12:BE12">SUM(C9:C11)</f>
        <v>193026.47999999998</v>
      </c>
      <c r="D12" s="56">
        <f t="shared" si="0"/>
        <v>46462.1171576</v>
      </c>
      <c r="E12" s="53">
        <f>SUM(E9:E11)</f>
        <v>15704.490000000002</v>
      </c>
      <c r="F12" s="53">
        <f t="shared" si="0"/>
        <v>2607.56</v>
      </c>
      <c r="G12" s="53">
        <f t="shared" si="0"/>
        <v>21201.190000000002</v>
      </c>
      <c r="H12" s="53">
        <f t="shared" si="0"/>
        <v>3520.26</v>
      </c>
      <c r="I12" s="53">
        <f t="shared" si="0"/>
        <v>50987.82000000001</v>
      </c>
      <c r="J12" s="53">
        <f t="shared" si="0"/>
        <v>8474.61</v>
      </c>
      <c r="K12" s="53">
        <f t="shared" si="0"/>
        <v>37807.270000000004</v>
      </c>
      <c r="L12" s="53">
        <f t="shared" si="0"/>
        <v>6262.4</v>
      </c>
      <c r="M12" s="53">
        <f t="shared" si="0"/>
        <v>12563.5</v>
      </c>
      <c r="N12" s="53">
        <f t="shared" si="0"/>
        <v>2086.0699999999997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138264.27000000002</v>
      </c>
      <c r="T12" s="53">
        <f t="shared" si="0"/>
        <v>22950.899999999998</v>
      </c>
      <c r="U12" s="57">
        <f t="shared" si="0"/>
        <v>9752.41</v>
      </c>
      <c r="V12" s="57">
        <f t="shared" si="0"/>
        <v>13165.81</v>
      </c>
      <c r="W12" s="57">
        <f t="shared" si="0"/>
        <v>31846.83</v>
      </c>
      <c r="X12" s="57">
        <f t="shared" si="0"/>
        <v>21942.98</v>
      </c>
      <c r="Y12" s="57">
        <f t="shared" si="0"/>
        <v>7800.42</v>
      </c>
      <c r="Z12" s="57">
        <f t="shared" si="0"/>
        <v>0</v>
      </c>
      <c r="AA12" s="57">
        <f t="shared" si="0"/>
        <v>0</v>
      </c>
      <c r="AB12" s="57">
        <f t="shared" si="0"/>
        <v>84508.45000000001</v>
      </c>
      <c r="AC12" s="57">
        <f t="shared" si="0"/>
        <v>153921.46715759998</v>
      </c>
      <c r="AD12" s="57">
        <f>SUM(AD9:AD11)</f>
        <v>0</v>
      </c>
      <c r="AE12" s="84">
        <f t="shared" si="0"/>
        <v>0</v>
      </c>
      <c r="AF12" s="84">
        <f t="shared" si="0"/>
        <v>0</v>
      </c>
      <c r="AG12" s="18">
        <f t="shared" si="0"/>
        <v>13389.119999999999</v>
      </c>
      <c r="AH12" s="18">
        <f t="shared" si="0"/>
        <v>4595.69968</v>
      </c>
      <c r="AI12" s="18">
        <f t="shared" si="0"/>
        <v>18989.540128</v>
      </c>
      <c r="AJ12" s="18">
        <f t="shared" si="0"/>
        <v>3418.1172230399998</v>
      </c>
      <c r="AK12" s="18">
        <f t="shared" si="0"/>
        <v>22097.933262079998</v>
      </c>
      <c r="AL12" s="18">
        <f t="shared" si="0"/>
        <v>3977.6279871744</v>
      </c>
      <c r="AM12" s="18">
        <f>SUM(AM9:AM11)</f>
        <v>40583.60435631999</v>
      </c>
      <c r="AN12" s="18">
        <f>SUM(AN9:AN11)</f>
        <v>7305.0487841376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23255.81</v>
      </c>
      <c r="AT12" s="18">
        <f>SUM(AT9:AT11)</f>
        <v>0</v>
      </c>
      <c r="AU12" s="18">
        <f>SUM(AU9:AU11)</f>
        <v>4186.0458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141798.54722075196</v>
      </c>
      <c r="BC12" s="18">
        <f t="shared" si="0"/>
        <v>0</v>
      </c>
      <c r="BD12" s="18">
        <f t="shared" si="0"/>
        <v>12122.919936848019</v>
      </c>
      <c r="BE12" s="19">
        <f t="shared" si="0"/>
        <v>-53755.82000000001</v>
      </c>
    </row>
    <row r="13" spans="1:57" ht="15" customHeight="1">
      <c r="A13" s="5" t="s">
        <v>44</v>
      </c>
      <c r="B13" s="54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1"/>
      <c r="R13" s="51"/>
      <c r="S13" s="51"/>
      <c r="T13" s="51"/>
      <c r="U13" s="58"/>
      <c r="V13" s="58"/>
      <c r="W13" s="58"/>
      <c r="X13" s="58"/>
      <c r="Y13" s="58"/>
      <c r="Z13" s="58"/>
      <c r="AA13" s="50"/>
      <c r="AB13" s="50"/>
      <c r="AC13" s="82"/>
      <c r="AD13" s="82"/>
      <c r="AE13" s="83"/>
      <c r="AF13" s="83"/>
      <c r="AG13" s="14"/>
      <c r="AH13" s="14"/>
      <c r="AI13" s="14"/>
      <c r="AJ13" s="14"/>
      <c r="AK13" s="14"/>
      <c r="AL13" s="14"/>
      <c r="AM13" s="14"/>
      <c r="AN13" s="14"/>
      <c r="AO13" s="30"/>
      <c r="AP13" s="30"/>
      <c r="AQ13" s="30"/>
      <c r="AR13" s="30"/>
      <c r="AS13" s="79"/>
      <c r="AT13" s="79"/>
      <c r="AU13" s="46"/>
      <c r="AV13" s="46"/>
      <c r="AW13" s="46"/>
      <c r="AX13" s="30"/>
      <c r="AY13" s="30"/>
      <c r="AZ13" s="30"/>
      <c r="BA13" s="14"/>
      <c r="BB13" s="14"/>
      <c r="BC13" s="14"/>
      <c r="BD13" s="14"/>
      <c r="BE13" s="29"/>
    </row>
    <row r="14" spans="1:57" ht="12.75">
      <c r="A14" s="11" t="s">
        <v>45</v>
      </c>
      <c r="B14" s="116">
        <v>7438.4</v>
      </c>
      <c r="C14" s="89">
        <f>B14*8.65</f>
        <v>64342.159999999996</v>
      </c>
      <c r="D14" s="90">
        <f>C14*0.125</f>
        <v>8042.7699999999995</v>
      </c>
      <c r="E14" s="117">
        <v>5223.74</v>
      </c>
      <c r="F14" s="117">
        <v>890.85</v>
      </c>
      <c r="G14" s="117">
        <v>7052.1</v>
      </c>
      <c r="H14" s="117">
        <v>1202.67</v>
      </c>
      <c r="I14" s="117">
        <v>16977.25</v>
      </c>
      <c r="J14" s="117">
        <v>2895.28</v>
      </c>
      <c r="K14" s="117">
        <v>11753.51</v>
      </c>
      <c r="L14" s="117">
        <v>2004.42</v>
      </c>
      <c r="M14" s="117">
        <v>4178.99</v>
      </c>
      <c r="N14" s="118">
        <v>1074.38</v>
      </c>
      <c r="O14" s="118">
        <v>0</v>
      </c>
      <c r="P14" s="118">
        <v>0</v>
      </c>
      <c r="Q14" s="118">
        <v>10360.32</v>
      </c>
      <c r="R14" s="118">
        <v>1074.38</v>
      </c>
      <c r="S14" s="117">
        <f>E14+G14+I14+K14+M14+O14+Q14</f>
        <v>55545.909999999996</v>
      </c>
      <c r="T14" s="119">
        <f aca="true" t="shared" si="1" ref="T14:T25">P14+N14+L14+J14+H14+F14+R14</f>
        <v>9141.98</v>
      </c>
      <c r="U14" s="117">
        <v>3286.09</v>
      </c>
      <c r="V14" s="117">
        <v>4436.28</v>
      </c>
      <c r="W14" s="117">
        <v>10536.33</v>
      </c>
      <c r="X14" s="117">
        <v>7393.86</v>
      </c>
      <c r="Y14" s="117">
        <v>2630</v>
      </c>
      <c r="Z14" s="118">
        <v>0</v>
      </c>
      <c r="AA14" s="118">
        <v>6965.62</v>
      </c>
      <c r="AB14" s="97">
        <f aca="true" t="shared" si="2" ref="AB14:AB25">SUM(U14:AA14)</f>
        <v>35248.18</v>
      </c>
      <c r="AC14" s="120">
        <f>D14+T14+AB14</f>
        <v>52432.93</v>
      </c>
      <c r="AD14" s="121">
        <f>P14+Z14</f>
        <v>0</v>
      </c>
      <c r="AE14" s="121">
        <f>R14+AA14</f>
        <v>8040</v>
      </c>
      <c r="AF14" s="121"/>
      <c r="AG14" s="122">
        <f>0.6*B14*0.9</f>
        <v>4016.736</v>
      </c>
      <c r="AH14" s="122">
        <f>B14*0.2*0.891</f>
        <v>1325.52288</v>
      </c>
      <c r="AI14" s="122">
        <f>0.85*B14*0.867-0.02</f>
        <v>5481.708879999999</v>
      </c>
      <c r="AJ14" s="122">
        <f>AI14*0.18</f>
        <v>986.7075983999998</v>
      </c>
      <c r="AK14" s="122">
        <f>0.83*B14*0.8685</f>
        <v>5362.007831999999</v>
      </c>
      <c r="AL14" s="122">
        <f>AK14*0.18</f>
        <v>965.1614097599999</v>
      </c>
      <c r="AM14" s="122">
        <f>1.91*B14*0.8686</f>
        <v>12340.4989984</v>
      </c>
      <c r="AN14" s="122">
        <f>AM14*0.18</f>
        <v>2221.289819712</v>
      </c>
      <c r="AO14" s="122"/>
      <c r="AP14" s="122">
        <f>AO14*0.18</f>
        <v>0</v>
      </c>
      <c r="AQ14" s="123"/>
      <c r="AR14" s="123">
        <f>AQ14*0.18</f>
        <v>0</v>
      </c>
      <c r="AS14" s="124"/>
      <c r="AT14" s="124"/>
      <c r="AU14" s="124">
        <f>(AS14+AT14)*0.18</f>
        <v>0</v>
      </c>
      <c r="AV14" s="125"/>
      <c r="AW14" s="126">
        <f>3859+2838</f>
        <v>6697</v>
      </c>
      <c r="AX14" s="122"/>
      <c r="AY14" s="101">
        <v>12434.92</v>
      </c>
      <c r="AZ14" s="127"/>
      <c r="BA14" s="127">
        <f>AZ14*0.18</f>
        <v>0</v>
      </c>
      <c r="BB14" s="127">
        <f>SUM(AG14:AU14)+AY14</f>
        <v>45134.553418272</v>
      </c>
      <c r="BC14" s="128"/>
      <c r="BD14" s="14">
        <f>AC14+AF14-BB14-BC14</f>
        <v>7298.376581728</v>
      </c>
      <c r="BE14" s="29">
        <f>AB14-S14</f>
        <v>-20297.729999999996</v>
      </c>
    </row>
    <row r="15" spans="1:57" ht="12.75">
      <c r="A15" s="11" t="s">
        <v>46</v>
      </c>
      <c r="B15" s="116">
        <v>7438.4</v>
      </c>
      <c r="C15" s="89">
        <f>B15*8.65</f>
        <v>64342.159999999996</v>
      </c>
      <c r="D15" s="90">
        <f>C15*0.125</f>
        <v>8042.7699999999995</v>
      </c>
      <c r="E15" s="117">
        <v>5087.45</v>
      </c>
      <c r="F15" s="117">
        <v>938.85</v>
      </c>
      <c r="G15" s="117">
        <v>6868.07</v>
      </c>
      <c r="H15" s="117">
        <v>1267.47</v>
      </c>
      <c r="I15" s="117">
        <v>16534.16</v>
      </c>
      <c r="J15" s="117">
        <v>3051.28</v>
      </c>
      <c r="K15" s="117">
        <v>11446.78</v>
      </c>
      <c r="L15" s="117">
        <v>2112.42</v>
      </c>
      <c r="M15" s="117">
        <v>4069.92</v>
      </c>
      <c r="N15" s="118">
        <v>751.08</v>
      </c>
      <c r="O15" s="118">
        <v>0</v>
      </c>
      <c r="P15" s="118">
        <v>0</v>
      </c>
      <c r="Q15" s="118">
        <v>10576.25</v>
      </c>
      <c r="R15" s="118">
        <v>1160.46</v>
      </c>
      <c r="S15" s="117">
        <f>E15+G15+I15+K15+M15+O15+Q15</f>
        <v>54582.63</v>
      </c>
      <c r="T15" s="119">
        <f t="shared" si="1"/>
        <v>9281.560000000001</v>
      </c>
      <c r="U15" s="117">
        <v>4096.51</v>
      </c>
      <c r="V15" s="117">
        <v>5530.21</v>
      </c>
      <c r="W15" s="117">
        <v>13300.72</v>
      </c>
      <c r="X15" s="117">
        <v>9217.76</v>
      </c>
      <c r="Y15" s="117">
        <v>3277.6</v>
      </c>
      <c r="Z15" s="118">
        <v>0</v>
      </c>
      <c r="AA15" s="118">
        <v>8336.77</v>
      </c>
      <c r="AB15" s="187">
        <f t="shared" si="2"/>
        <v>43759.57000000001</v>
      </c>
      <c r="AC15" s="120">
        <f>D15+T15+AB15</f>
        <v>61083.90000000001</v>
      </c>
      <c r="AD15" s="121">
        <f>P15+Z15</f>
        <v>0</v>
      </c>
      <c r="AE15" s="121">
        <f>R15+AA15</f>
        <v>9497.23</v>
      </c>
      <c r="AF15" s="121"/>
      <c r="AG15" s="122">
        <f>0.6*B15*0.9</f>
        <v>4016.736</v>
      </c>
      <c r="AH15" s="122">
        <f>B15*0.2*0.9153</f>
        <v>1361.673504</v>
      </c>
      <c r="AI15" s="122">
        <f>0.85*B15*0.867</f>
        <v>5481.72888</v>
      </c>
      <c r="AJ15" s="122">
        <f>AI15*0.18</f>
        <v>986.7111984</v>
      </c>
      <c r="AK15" s="122">
        <f>0.83*B15*0.8684</f>
        <v>5361.390444799999</v>
      </c>
      <c r="AL15" s="122">
        <f>AK15*0.18</f>
        <v>965.0502800639998</v>
      </c>
      <c r="AM15" s="122">
        <f>(1.91)*B15*0.8684</f>
        <v>12337.6575296</v>
      </c>
      <c r="AN15" s="122">
        <f>AM15*0.18</f>
        <v>2220.7783553279996</v>
      </c>
      <c r="AO15" s="122"/>
      <c r="AP15" s="122">
        <f>AO15*0.18</f>
        <v>0</v>
      </c>
      <c r="AQ15" s="123"/>
      <c r="AR15" s="123">
        <f>AQ15*0.18</f>
        <v>0</v>
      </c>
      <c r="AS15" s="124">
        <v>3080</v>
      </c>
      <c r="AT15" s="124"/>
      <c r="AU15" s="124">
        <f>(AS15+AT15)*0.18</f>
        <v>554.4</v>
      </c>
      <c r="AV15" s="125"/>
      <c r="AW15" s="126">
        <f>2972+2354</f>
        <v>5326</v>
      </c>
      <c r="AX15" s="122"/>
      <c r="AY15" s="101">
        <v>12434.92</v>
      </c>
      <c r="AZ15" s="127"/>
      <c r="BA15" s="127">
        <f>AZ15*0.18</f>
        <v>0</v>
      </c>
      <c r="BB15" s="127">
        <f>SUM(AG15:AU15)+AY15</f>
        <v>48801.046192192</v>
      </c>
      <c r="BC15" s="133"/>
      <c r="BD15" s="14">
        <f aca="true" t="shared" si="3" ref="BD15:BD25">AC15+AF15-BB15-BC15</f>
        <v>12282.85380780801</v>
      </c>
      <c r="BE15" s="29">
        <f aca="true" t="shared" si="4" ref="BE15:BE24">AB15-S15</f>
        <v>-10823.05999999999</v>
      </c>
    </row>
    <row r="16" spans="1:57" ht="12.75">
      <c r="A16" s="11" t="s">
        <v>47</v>
      </c>
      <c r="B16" s="110">
        <v>7438.4</v>
      </c>
      <c r="C16" s="89">
        <f aca="true" t="shared" si="5" ref="C16:C25">B16*8.65</f>
        <v>64342.159999999996</v>
      </c>
      <c r="D16" s="90">
        <f>C16*0.125</f>
        <v>8042.7699999999995</v>
      </c>
      <c r="E16" s="77">
        <v>4594.18</v>
      </c>
      <c r="F16" s="77">
        <v>914.85</v>
      </c>
      <c r="G16" s="77">
        <v>6202.06</v>
      </c>
      <c r="H16" s="77">
        <v>1235.07</v>
      </c>
      <c r="I16" s="77">
        <v>14912.94</v>
      </c>
      <c r="J16" s="77">
        <v>2973.28</v>
      </c>
      <c r="K16" s="77">
        <v>10336.19</v>
      </c>
      <c r="L16" s="77">
        <v>2058.42</v>
      </c>
      <c r="M16" s="77">
        <v>3674.99</v>
      </c>
      <c r="N16" s="92">
        <v>731.88</v>
      </c>
      <c r="O16" s="92">
        <v>0</v>
      </c>
      <c r="P16" s="92">
        <v>0</v>
      </c>
      <c r="Q16" s="92">
        <v>10386.16</v>
      </c>
      <c r="R16" s="92">
        <v>1124.68</v>
      </c>
      <c r="S16" s="77">
        <f aca="true" t="shared" si="6" ref="S16:S25">E16+G16+I16+K16+M16+O16+Q16</f>
        <v>50106.520000000004</v>
      </c>
      <c r="T16" s="91">
        <f t="shared" si="1"/>
        <v>9038.18</v>
      </c>
      <c r="U16" s="78">
        <v>5231.45</v>
      </c>
      <c r="V16" s="78">
        <v>7062.33</v>
      </c>
      <c r="W16" s="78">
        <v>16960.93</v>
      </c>
      <c r="X16" s="78">
        <v>11768.28</v>
      </c>
      <c r="Y16" s="78">
        <v>4184.34</v>
      </c>
      <c r="Z16" s="103">
        <v>0</v>
      </c>
      <c r="AA16" s="103">
        <v>12385.54</v>
      </c>
      <c r="AB16" s="97">
        <f t="shared" si="2"/>
        <v>57592.87</v>
      </c>
      <c r="AC16" s="96">
        <f aca="true" t="shared" si="7" ref="AC16:AC22">D16+T16+AB16</f>
        <v>74673.82</v>
      </c>
      <c r="AD16" s="86">
        <f aca="true" t="shared" si="8" ref="AD16:AD25">P16+Z16</f>
        <v>0</v>
      </c>
      <c r="AE16" s="86">
        <f aca="true" t="shared" si="9" ref="AE16:AE25">R16+AA16</f>
        <v>13510.220000000001</v>
      </c>
      <c r="AF16" s="86"/>
      <c r="AG16" s="16">
        <f>0.6*B16*0.9</f>
        <v>4016.736</v>
      </c>
      <c r="AH16" s="104">
        <f>B16*0.2*0.9082</f>
        <v>1351.1109760000002</v>
      </c>
      <c r="AI16" s="16">
        <f>0.85*B16*0.8675</f>
        <v>5484.8902</v>
      </c>
      <c r="AJ16" s="16">
        <f aca="true" t="shared" si="10" ref="AJ16:AJ25">AI16*0.18</f>
        <v>987.280236</v>
      </c>
      <c r="AK16" s="104">
        <f>0.83*B16*0.838</f>
        <v>5173.704736</v>
      </c>
      <c r="AL16" s="16">
        <f aca="true" t="shared" si="11" ref="AL16:AL25">AK16*0.18</f>
        <v>931.2668524799999</v>
      </c>
      <c r="AM16" s="16">
        <f>1.91*B16*0.8381</f>
        <v>11907.175006399999</v>
      </c>
      <c r="AN16" s="16">
        <f aca="true" t="shared" si="12" ref="AN16:AN25">AM16*0.18</f>
        <v>2143.291501152</v>
      </c>
      <c r="AO16" s="16"/>
      <c r="AP16" s="16">
        <f aca="true" t="shared" si="13" ref="AP16:AP25">AO16*0.18</f>
        <v>0</v>
      </c>
      <c r="AQ16" s="98"/>
      <c r="AR16" s="98">
        <f aca="true" t="shared" si="14" ref="AR16:AR25">AQ16*0.18</f>
        <v>0</v>
      </c>
      <c r="AS16" s="81">
        <v>6347</v>
      </c>
      <c r="AT16" s="81"/>
      <c r="AU16" s="81">
        <f aca="true" t="shared" si="15" ref="AU16:AU25">(AS16+AT16)*0.18</f>
        <v>1142.46</v>
      </c>
      <c r="AV16" s="99"/>
      <c r="AW16" s="109">
        <f>2936+2285</f>
        <v>5221</v>
      </c>
      <c r="AX16" s="16"/>
      <c r="AY16" s="101">
        <v>12436.773532490724</v>
      </c>
      <c r="AZ16" s="102"/>
      <c r="BA16" s="102">
        <f>AZ16*0.18</f>
        <v>0</v>
      </c>
      <c r="BB16" s="102">
        <f>SUM(AG16:AU16)+AY16</f>
        <v>51921.689040522724</v>
      </c>
      <c r="BC16" s="105"/>
      <c r="BD16" s="14">
        <f t="shared" si="3"/>
        <v>22752.130959477283</v>
      </c>
      <c r="BE16" s="29">
        <f t="shared" si="4"/>
        <v>7486.3499999999985</v>
      </c>
    </row>
    <row r="17" spans="1:57" ht="12.75">
      <c r="A17" s="11" t="s">
        <v>48</v>
      </c>
      <c r="B17" s="111">
        <v>7438.4</v>
      </c>
      <c r="C17" s="89">
        <f t="shared" si="5"/>
        <v>64342.159999999996</v>
      </c>
      <c r="D17" s="90">
        <f>C17*0.125</f>
        <v>8042.7699999999995</v>
      </c>
      <c r="E17" s="78">
        <v>5208.55</v>
      </c>
      <c r="F17" s="78">
        <v>919.25</v>
      </c>
      <c r="G17" s="78">
        <v>7031.57</v>
      </c>
      <c r="H17" s="78">
        <v>1241.01</v>
      </c>
      <c r="I17" s="78">
        <v>16927.82</v>
      </c>
      <c r="J17" s="78">
        <v>2987.58</v>
      </c>
      <c r="K17" s="78">
        <v>11719.28</v>
      </c>
      <c r="L17" s="78">
        <v>2068.32</v>
      </c>
      <c r="M17" s="78">
        <v>4166.8</v>
      </c>
      <c r="N17" s="103">
        <v>735.4</v>
      </c>
      <c r="O17" s="103">
        <v>0</v>
      </c>
      <c r="P17" s="103">
        <v>0</v>
      </c>
      <c r="Q17" s="103">
        <v>10868.23</v>
      </c>
      <c r="R17" s="103">
        <v>1141.8</v>
      </c>
      <c r="S17" s="117">
        <f t="shared" si="6"/>
        <v>55922.25</v>
      </c>
      <c r="T17" s="119">
        <f t="shared" si="1"/>
        <v>9093.36</v>
      </c>
      <c r="U17" s="117">
        <v>5121.16</v>
      </c>
      <c r="V17" s="117">
        <v>6913.63</v>
      </c>
      <c r="W17" s="117">
        <v>16632.86</v>
      </c>
      <c r="X17" s="117">
        <v>11522.36</v>
      </c>
      <c r="Y17" s="117">
        <v>4097.07</v>
      </c>
      <c r="Z17" s="117">
        <v>0</v>
      </c>
      <c r="AA17" s="117">
        <v>9486.48</v>
      </c>
      <c r="AB17" s="97">
        <f t="shared" si="2"/>
        <v>53773.56</v>
      </c>
      <c r="AC17" s="120">
        <f t="shared" si="7"/>
        <v>70909.69</v>
      </c>
      <c r="AD17" s="121">
        <f t="shared" si="8"/>
        <v>0</v>
      </c>
      <c r="AE17" s="121">
        <f t="shared" si="9"/>
        <v>10628.279999999999</v>
      </c>
      <c r="AF17" s="121"/>
      <c r="AG17" s="122">
        <f>0.6*B17*0.9</f>
        <v>4016.736</v>
      </c>
      <c r="AH17" s="104">
        <f>B17*0.2*0.9234</f>
        <v>1373.723712</v>
      </c>
      <c r="AI17" s="122">
        <f>0.85*B17*0.8934</f>
        <v>5648.646575999999</v>
      </c>
      <c r="AJ17" s="122">
        <f t="shared" si="10"/>
        <v>1016.7563836799998</v>
      </c>
      <c r="AK17" s="122">
        <f>0.83*B17*0.8498</f>
        <v>5246.5564256</v>
      </c>
      <c r="AL17" s="122">
        <f t="shared" si="11"/>
        <v>944.3801566079999</v>
      </c>
      <c r="AM17" s="122">
        <f>(1.91)*B17*0.8498</f>
        <v>12073.4009312</v>
      </c>
      <c r="AN17" s="122">
        <f t="shared" si="12"/>
        <v>2173.212167616</v>
      </c>
      <c r="AO17" s="122"/>
      <c r="AP17" s="122">
        <f t="shared" si="13"/>
        <v>0</v>
      </c>
      <c r="AQ17" s="123"/>
      <c r="AR17" s="123">
        <f t="shared" si="14"/>
        <v>0</v>
      </c>
      <c r="AS17" s="124">
        <v>24018.14</v>
      </c>
      <c r="AT17" s="124"/>
      <c r="AU17" s="124">
        <f t="shared" si="15"/>
        <v>4323.2652</v>
      </c>
      <c r="AV17" s="125"/>
      <c r="AW17" s="237">
        <f>3367+2228</f>
        <v>5595</v>
      </c>
      <c r="AX17" s="122">
        <v>30184.02</v>
      </c>
      <c r="AY17" s="101">
        <v>12437.27</v>
      </c>
      <c r="AZ17" s="127"/>
      <c r="BA17" s="127">
        <f>AZ17*0.18</f>
        <v>0</v>
      </c>
      <c r="BB17" s="127">
        <f>SUM(AG17:BA17)-AV17-AW17</f>
        <v>103456.107552704</v>
      </c>
      <c r="BC17" s="133"/>
      <c r="BD17" s="14">
        <f t="shared" si="3"/>
        <v>-32546.41755270399</v>
      </c>
      <c r="BE17" s="29">
        <f t="shared" si="4"/>
        <v>-2148.6900000000023</v>
      </c>
    </row>
    <row r="18" spans="1:57" ht="12.75">
      <c r="A18" s="11" t="s">
        <v>49</v>
      </c>
      <c r="B18" s="113">
        <v>7437</v>
      </c>
      <c r="C18" s="89">
        <f t="shared" si="5"/>
        <v>64330.05</v>
      </c>
      <c r="D18" s="106">
        <f aca="true" t="shared" si="16" ref="D18:D25">C18-E18-F18-G18-H18-I18-J18-K18-L18-M18-N18</f>
        <v>6138.060000000001</v>
      </c>
      <c r="E18" s="78">
        <v>5703.76</v>
      </c>
      <c r="F18" s="78">
        <v>1012.43</v>
      </c>
      <c r="G18" s="78">
        <v>7726.75</v>
      </c>
      <c r="H18" s="78">
        <v>1372.39</v>
      </c>
      <c r="I18" s="78">
        <v>18563.94</v>
      </c>
      <c r="J18" s="78">
        <v>3296.02</v>
      </c>
      <c r="K18" s="78">
        <v>12860.12</v>
      </c>
      <c r="L18" s="78">
        <v>2283.65</v>
      </c>
      <c r="M18" s="78">
        <v>4563.01</v>
      </c>
      <c r="N18" s="103">
        <v>809.92</v>
      </c>
      <c r="O18" s="103">
        <v>0</v>
      </c>
      <c r="P18" s="103">
        <v>0</v>
      </c>
      <c r="Q18" s="103">
        <v>5565.82</v>
      </c>
      <c r="R18" s="103">
        <v>1119.63</v>
      </c>
      <c r="S18" s="77">
        <f t="shared" si="6"/>
        <v>54983.4</v>
      </c>
      <c r="T18" s="91">
        <f t="shared" si="1"/>
        <v>9894.04</v>
      </c>
      <c r="U18" s="78">
        <v>4645.98</v>
      </c>
      <c r="V18" s="78">
        <v>6272.26</v>
      </c>
      <c r="W18" s="78">
        <v>15091.01</v>
      </c>
      <c r="X18" s="78">
        <v>10454.5</v>
      </c>
      <c r="Y18" s="78">
        <v>3716.98</v>
      </c>
      <c r="Z18" s="103">
        <v>0</v>
      </c>
      <c r="AA18" s="103">
        <v>10868.96</v>
      </c>
      <c r="AB18" s="97">
        <f t="shared" si="2"/>
        <v>51049.69</v>
      </c>
      <c r="AC18" s="96">
        <f t="shared" si="7"/>
        <v>67081.79000000001</v>
      </c>
      <c r="AD18" s="86">
        <f t="shared" si="8"/>
        <v>0</v>
      </c>
      <c r="AE18" s="86">
        <f t="shared" si="9"/>
        <v>11988.59</v>
      </c>
      <c r="AF18" s="86"/>
      <c r="AG18" s="16">
        <f aca="true" t="shared" si="17" ref="AG18:AG25">0.6*B18</f>
        <v>4462.2</v>
      </c>
      <c r="AH18" s="16">
        <f>B18*0.2*1.01</f>
        <v>1502.2740000000001</v>
      </c>
      <c r="AI18" s="16">
        <f>0.85*B18</f>
        <v>6321.45</v>
      </c>
      <c r="AJ18" s="16">
        <f t="shared" si="10"/>
        <v>1137.8609999999999</v>
      </c>
      <c r="AK18" s="16">
        <f>0.83*B18</f>
        <v>6172.71</v>
      </c>
      <c r="AL18" s="16">
        <f t="shared" si="11"/>
        <v>1111.0878</v>
      </c>
      <c r="AM18" s="16">
        <f>(1.91)*B18</f>
        <v>14204.67</v>
      </c>
      <c r="AN18" s="16">
        <f t="shared" si="12"/>
        <v>2556.8406</v>
      </c>
      <c r="AO18" s="16"/>
      <c r="AP18" s="16">
        <f t="shared" si="13"/>
        <v>0</v>
      </c>
      <c r="AQ18" s="98"/>
      <c r="AR18" s="98">
        <f t="shared" si="14"/>
        <v>0</v>
      </c>
      <c r="AS18" s="81">
        <v>1703.88</v>
      </c>
      <c r="AT18" s="81"/>
      <c r="AU18" s="81">
        <f t="shared" si="15"/>
        <v>306.6984</v>
      </c>
      <c r="AV18" s="99"/>
      <c r="AW18" s="112">
        <v>4960</v>
      </c>
      <c r="AX18" s="16">
        <f aca="true" t="shared" si="18" ref="AX18:AX25">AW18*1.12*1.18</f>
        <v>6555.136</v>
      </c>
      <c r="AY18" s="101">
        <v>12438.093571536107</v>
      </c>
      <c r="AZ18" s="102"/>
      <c r="BA18" s="102">
        <f aca="true" t="shared" si="19" ref="BA18:BA25">AZ18*0.18</f>
        <v>0</v>
      </c>
      <c r="BB18" s="102">
        <f>SUM(AG18:BA18)-AV18-AW18</f>
        <v>58472.90137153611</v>
      </c>
      <c r="BC18" s="105"/>
      <c r="BD18" s="14">
        <f t="shared" si="3"/>
        <v>8608.888628463901</v>
      </c>
      <c r="BE18" s="29">
        <f t="shared" si="4"/>
        <v>-3933.709999999999</v>
      </c>
    </row>
    <row r="19" spans="1:57" ht="12.75">
      <c r="A19" s="11" t="s">
        <v>50</v>
      </c>
      <c r="B19" s="113">
        <v>7437</v>
      </c>
      <c r="C19" s="89">
        <f t="shared" si="5"/>
        <v>64330.05</v>
      </c>
      <c r="D19" s="106">
        <f t="shared" si="16"/>
        <v>6068.460000000006</v>
      </c>
      <c r="E19" s="78">
        <v>5684.96</v>
      </c>
      <c r="F19" s="78">
        <v>1039.31</v>
      </c>
      <c r="G19" s="78">
        <v>7701.18</v>
      </c>
      <c r="H19" s="78">
        <v>1408.8</v>
      </c>
      <c r="I19" s="78">
        <v>18502.6</v>
      </c>
      <c r="J19" s="78">
        <v>3383.49</v>
      </c>
      <c r="K19" s="78">
        <v>12817.61</v>
      </c>
      <c r="L19" s="78">
        <v>2344.23</v>
      </c>
      <c r="M19" s="78">
        <v>4547.98</v>
      </c>
      <c r="N19" s="103">
        <v>831.43</v>
      </c>
      <c r="O19" s="103">
        <v>0</v>
      </c>
      <c r="P19" s="103">
        <v>0</v>
      </c>
      <c r="Q19" s="103">
        <v>10384.22</v>
      </c>
      <c r="R19" s="103">
        <v>1137.65</v>
      </c>
      <c r="S19" s="77">
        <f t="shared" si="6"/>
        <v>59638.55</v>
      </c>
      <c r="T19" s="91">
        <f t="shared" si="1"/>
        <v>10144.91</v>
      </c>
      <c r="U19" s="78">
        <v>5533.66</v>
      </c>
      <c r="V19" s="78">
        <v>7489.42</v>
      </c>
      <c r="W19" s="78">
        <v>18003.85</v>
      </c>
      <c r="X19" s="78">
        <v>12469.72</v>
      </c>
      <c r="Y19" s="78">
        <v>4426.75</v>
      </c>
      <c r="Z19" s="103">
        <v>0</v>
      </c>
      <c r="AA19" s="103">
        <v>9712.82</v>
      </c>
      <c r="AB19" s="97">
        <f t="shared" si="2"/>
        <v>57636.22</v>
      </c>
      <c r="AC19" s="96">
        <f t="shared" si="7"/>
        <v>73849.59000000001</v>
      </c>
      <c r="AD19" s="86">
        <f t="shared" si="8"/>
        <v>0</v>
      </c>
      <c r="AE19" s="86">
        <f t="shared" si="9"/>
        <v>10850.47</v>
      </c>
      <c r="AF19" s="86"/>
      <c r="AG19" s="16">
        <f t="shared" si="17"/>
        <v>4462.2</v>
      </c>
      <c r="AH19" s="16">
        <f>B19*0.2*1.01045</f>
        <v>1502.9433300000003</v>
      </c>
      <c r="AI19" s="16">
        <f>0.85*B19</f>
        <v>6321.45</v>
      </c>
      <c r="AJ19" s="16">
        <f t="shared" si="10"/>
        <v>1137.8609999999999</v>
      </c>
      <c r="AK19" s="16">
        <f>0.83*B19</f>
        <v>6172.71</v>
      </c>
      <c r="AL19" s="16">
        <f t="shared" si="11"/>
        <v>1111.0878</v>
      </c>
      <c r="AM19" s="16">
        <f>(1.91)*B19</f>
        <v>14204.67</v>
      </c>
      <c r="AN19" s="16">
        <f t="shared" si="12"/>
        <v>2556.8406</v>
      </c>
      <c r="AO19" s="16"/>
      <c r="AP19" s="16">
        <f t="shared" si="13"/>
        <v>0</v>
      </c>
      <c r="AQ19" s="98"/>
      <c r="AR19" s="98">
        <f t="shared" si="14"/>
        <v>0</v>
      </c>
      <c r="AS19" s="81">
        <v>1755.48</v>
      </c>
      <c r="AT19" s="81"/>
      <c r="AU19" s="81">
        <f t="shared" si="15"/>
        <v>315.9864</v>
      </c>
      <c r="AV19" s="99"/>
      <c r="AW19" s="114">
        <f>2387+3174</f>
        <v>5561</v>
      </c>
      <c r="AX19" s="16">
        <f t="shared" si="18"/>
        <v>7349.417600000001</v>
      </c>
      <c r="AY19" s="101">
        <v>12438.093571536107</v>
      </c>
      <c r="AZ19" s="102"/>
      <c r="BA19" s="102">
        <f t="shared" si="19"/>
        <v>0</v>
      </c>
      <c r="BB19" s="102">
        <f aca="true" t="shared" si="20" ref="BB19:BB24">SUM(AG19:BA19)-AV19-AW19</f>
        <v>59328.74030153611</v>
      </c>
      <c r="BC19" s="105"/>
      <c r="BD19" s="14">
        <f t="shared" si="3"/>
        <v>14520.849698463899</v>
      </c>
      <c r="BE19" s="29">
        <f t="shared" si="4"/>
        <v>-2002.3300000000017</v>
      </c>
    </row>
    <row r="20" spans="1:57" ht="12.75">
      <c r="A20" s="11" t="s">
        <v>51</v>
      </c>
      <c r="B20" s="116">
        <v>7427.9</v>
      </c>
      <c r="C20" s="89">
        <f t="shared" si="5"/>
        <v>64251.335</v>
      </c>
      <c r="D20" s="90">
        <f t="shared" si="16"/>
        <v>6109.564999999989</v>
      </c>
      <c r="E20" s="78">
        <v>5676.55</v>
      </c>
      <c r="F20" s="78">
        <v>1033.91</v>
      </c>
      <c r="G20" s="78">
        <v>7689.69</v>
      </c>
      <c r="H20" s="78">
        <v>1401.48</v>
      </c>
      <c r="I20" s="78">
        <v>18475.19</v>
      </c>
      <c r="J20" s="78">
        <v>3365.91</v>
      </c>
      <c r="K20" s="78">
        <v>12798.61</v>
      </c>
      <c r="L20" s="78">
        <v>2332.05</v>
      </c>
      <c r="M20" s="78">
        <v>4541.27</v>
      </c>
      <c r="N20" s="103">
        <v>827.11</v>
      </c>
      <c r="O20" s="103">
        <v>0</v>
      </c>
      <c r="P20" s="103">
        <v>0</v>
      </c>
      <c r="Q20" s="103">
        <v>10109.45</v>
      </c>
      <c r="R20" s="103">
        <v>1140.12</v>
      </c>
      <c r="S20" s="117">
        <f t="shared" si="6"/>
        <v>59290.759999999995</v>
      </c>
      <c r="T20" s="119">
        <f t="shared" si="1"/>
        <v>10100.579999999998</v>
      </c>
      <c r="U20" s="78">
        <v>7679.57</v>
      </c>
      <c r="V20" s="78">
        <v>9692.15</v>
      </c>
      <c r="W20" s="78">
        <v>20483.31</v>
      </c>
      <c r="X20" s="78">
        <v>14803.48</v>
      </c>
      <c r="Y20" s="78">
        <v>6543.71</v>
      </c>
      <c r="Z20" s="103">
        <v>0</v>
      </c>
      <c r="AA20" s="103">
        <v>10542.79</v>
      </c>
      <c r="AB20" s="97">
        <f t="shared" si="2"/>
        <v>69745.01</v>
      </c>
      <c r="AC20" s="120">
        <f t="shared" si="7"/>
        <v>85955.15499999998</v>
      </c>
      <c r="AD20" s="121">
        <f t="shared" si="8"/>
        <v>0</v>
      </c>
      <c r="AE20" s="121">
        <f t="shared" si="9"/>
        <v>11682.91</v>
      </c>
      <c r="AF20" s="121"/>
      <c r="AG20" s="122">
        <f t="shared" si="17"/>
        <v>4456.74</v>
      </c>
      <c r="AH20" s="122">
        <f>B20*0.2*0.99426</f>
        <v>1477.0527708</v>
      </c>
      <c r="AI20" s="122">
        <f>0.85*B20*0.9857</f>
        <v>6223.4288755</v>
      </c>
      <c r="AJ20" s="122">
        <f t="shared" si="10"/>
        <v>1120.2171975899998</v>
      </c>
      <c r="AK20" s="122">
        <f>0.83*B20*0.9905</f>
        <v>6106.5880085</v>
      </c>
      <c r="AL20" s="122">
        <f t="shared" si="11"/>
        <v>1099.1858415299998</v>
      </c>
      <c r="AM20" s="122">
        <f>(1.91)*B20*0.9905</f>
        <v>14052.509754499999</v>
      </c>
      <c r="AN20" s="122">
        <f t="shared" si="12"/>
        <v>2529.4517558099997</v>
      </c>
      <c r="AO20" s="122"/>
      <c r="AP20" s="122">
        <f t="shared" si="13"/>
        <v>0</v>
      </c>
      <c r="AQ20" s="123"/>
      <c r="AR20" s="123">
        <f t="shared" si="14"/>
        <v>0</v>
      </c>
      <c r="AS20" s="124">
        <v>2681.2</v>
      </c>
      <c r="AT20" s="124"/>
      <c r="AU20" s="124">
        <f t="shared" si="15"/>
        <v>482.61599999999993</v>
      </c>
      <c r="AV20" s="125"/>
      <c r="AW20" s="114">
        <f>2665+1961</f>
        <v>4626</v>
      </c>
      <c r="AX20" s="122">
        <f t="shared" si="18"/>
        <v>6113.721600000001</v>
      </c>
      <c r="AY20" s="101">
        <v>12427.59</v>
      </c>
      <c r="AZ20" s="127"/>
      <c r="BA20" s="127">
        <f t="shared" si="19"/>
        <v>0</v>
      </c>
      <c r="BB20" s="102">
        <f t="shared" si="20"/>
        <v>58770.301804229995</v>
      </c>
      <c r="BC20" s="133"/>
      <c r="BD20" s="14">
        <f t="shared" si="3"/>
        <v>27184.85319576999</v>
      </c>
      <c r="BE20" s="29">
        <f t="shared" si="4"/>
        <v>10454.25</v>
      </c>
    </row>
    <row r="21" spans="1:57" ht="12.75">
      <c r="A21" s="11" t="s">
        <v>52</v>
      </c>
      <c r="B21" s="116">
        <v>7427.9</v>
      </c>
      <c r="C21" s="89">
        <f t="shared" si="5"/>
        <v>64251.335</v>
      </c>
      <c r="D21" s="106">
        <f>C21-E21-F21-G21-H21-I21-J21-K21-L21-M21-N21</f>
        <v>9673.045000000006</v>
      </c>
      <c r="E21" s="78">
        <v>5249.78</v>
      </c>
      <c r="F21" s="78">
        <v>1048.85</v>
      </c>
      <c r="G21" s="78">
        <v>7113.09</v>
      </c>
      <c r="H21" s="78">
        <v>1421.73</v>
      </c>
      <c r="I21" s="78">
        <v>17087.73</v>
      </c>
      <c r="J21" s="78">
        <v>3414.55</v>
      </c>
      <c r="K21" s="78">
        <v>11837.92</v>
      </c>
      <c r="L21" s="78">
        <v>2365.75</v>
      </c>
      <c r="M21" s="78">
        <v>4199.83</v>
      </c>
      <c r="N21" s="103">
        <v>839.06</v>
      </c>
      <c r="O21" s="103">
        <v>0</v>
      </c>
      <c r="P21" s="103">
        <v>0</v>
      </c>
      <c r="Q21" s="103">
        <v>9355.75</v>
      </c>
      <c r="R21" s="103">
        <v>1132.15</v>
      </c>
      <c r="S21" s="117">
        <f>E21+G21+I21+K21+M21+O21+Q21</f>
        <v>54844.1</v>
      </c>
      <c r="T21" s="119">
        <f t="shared" si="1"/>
        <v>10222.09</v>
      </c>
      <c r="U21" s="78">
        <v>5070.04</v>
      </c>
      <c r="V21" s="78">
        <v>6866.74</v>
      </c>
      <c r="W21" s="78">
        <v>16499.83</v>
      </c>
      <c r="X21" s="78">
        <v>11429.87</v>
      </c>
      <c r="Y21" s="78">
        <v>4056.06</v>
      </c>
      <c r="Z21" s="103">
        <v>0</v>
      </c>
      <c r="AA21" s="103">
        <v>9238.31</v>
      </c>
      <c r="AB21" s="97">
        <f t="shared" si="2"/>
        <v>53160.85</v>
      </c>
      <c r="AC21" s="120">
        <f t="shared" si="7"/>
        <v>73055.985</v>
      </c>
      <c r="AD21" s="121">
        <f t="shared" si="8"/>
        <v>0</v>
      </c>
      <c r="AE21" s="121">
        <f t="shared" si="9"/>
        <v>10370.46</v>
      </c>
      <c r="AF21" s="121"/>
      <c r="AG21" s="122">
        <f t="shared" si="17"/>
        <v>4456.74</v>
      </c>
      <c r="AH21" s="122">
        <f>B21*0.2*0.99875</f>
        <v>1483.723025</v>
      </c>
      <c r="AI21" s="122">
        <f>0.85*B21*0.98526</f>
        <v>6220.6508409</v>
      </c>
      <c r="AJ21" s="122">
        <f t="shared" si="10"/>
        <v>1119.7171513619999</v>
      </c>
      <c r="AK21" s="122">
        <f>0.83*B21*0.99</f>
        <v>6103.505429999999</v>
      </c>
      <c r="AL21" s="122">
        <f t="shared" si="11"/>
        <v>1098.6309774</v>
      </c>
      <c r="AM21" s="122">
        <f>(1.91)*B21*0.99</f>
        <v>14045.416109999998</v>
      </c>
      <c r="AN21" s="122">
        <f t="shared" si="12"/>
        <v>2528.1748998</v>
      </c>
      <c r="AO21" s="122"/>
      <c r="AP21" s="122">
        <f t="shared" si="13"/>
        <v>0</v>
      </c>
      <c r="AQ21" s="123"/>
      <c r="AR21" s="123">
        <f t="shared" si="14"/>
        <v>0</v>
      </c>
      <c r="AS21" s="124">
        <v>8536</v>
      </c>
      <c r="AT21" s="124"/>
      <c r="AU21" s="124">
        <f t="shared" si="15"/>
        <v>1536.48</v>
      </c>
      <c r="AV21" s="125"/>
      <c r="AW21" s="114">
        <f>2794+1999</f>
        <v>4793</v>
      </c>
      <c r="AX21" s="122">
        <f t="shared" si="18"/>
        <v>6334.428800000001</v>
      </c>
      <c r="AY21" s="101">
        <v>12428.38</v>
      </c>
      <c r="AZ21" s="127"/>
      <c r="BA21" s="127">
        <f t="shared" si="19"/>
        <v>0</v>
      </c>
      <c r="BB21" s="102">
        <f t="shared" si="20"/>
        <v>65891.847234462</v>
      </c>
      <c r="BC21" s="133"/>
      <c r="BD21" s="14">
        <f t="shared" si="3"/>
        <v>7164.137765538006</v>
      </c>
      <c r="BE21" s="29">
        <f t="shared" si="4"/>
        <v>-1683.25</v>
      </c>
    </row>
    <row r="22" spans="1:57" ht="12.75">
      <c r="A22" s="11" t="s">
        <v>53</v>
      </c>
      <c r="B22" s="88">
        <v>7427.9</v>
      </c>
      <c r="C22" s="89">
        <f t="shared" si="5"/>
        <v>64251.335</v>
      </c>
      <c r="D22" s="106">
        <f t="shared" si="16"/>
        <v>6012.664999999993</v>
      </c>
      <c r="E22" s="77">
        <v>5632.94</v>
      </c>
      <c r="F22" s="77">
        <v>1088.8</v>
      </c>
      <c r="G22" s="77">
        <v>7630.29</v>
      </c>
      <c r="H22" s="77">
        <v>1475.88</v>
      </c>
      <c r="I22" s="77">
        <v>18332.97</v>
      </c>
      <c r="J22" s="77">
        <v>3544.58</v>
      </c>
      <c r="K22" s="77">
        <v>12699.96</v>
      </c>
      <c r="L22" s="77">
        <v>2455.85</v>
      </c>
      <c r="M22" s="77">
        <v>4506.39</v>
      </c>
      <c r="N22" s="92">
        <v>871.01</v>
      </c>
      <c r="O22" s="92">
        <v>0</v>
      </c>
      <c r="P22" s="92">
        <v>0</v>
      </c>
      <c r="Q22" s="92">
        <v>5635.03</v>
      </c>
      <c r="R22" s="92">
        <v>1191.83</v>
      </c>
      <c r="S22" s="77">
        <f t="shared" si="6"/>
        <v>54437.58</v>
      </c>
      <c r="T22" s="91">
        <f t="shared" si="1"/>
        <v>10627.949999999999</v>
      </c>
      <c r="U22" s="77">
        <v>5449.01</v>
      </c>
      <c r="V22" s="77">
        <v>7380.6</v>
      </c>
      <c r="W22" s="77">
        <v>17728.82</v>
      </c>
      <c r="X22" s="77">
        <v>12284.54</v>
      </c>
      <c r="Y22" s="77">
        <v>4359.23</v>
      </c>
      <c r="Z22" s="92">
        <v>0</v>
      </c>
      <c r="AA22" s="92">
        <v>11339.5</v>
      </c>
      <c r="AB22" s="97">
        <f t="shared" si="2"/>
        <v>58541.7</v>
      </c>
      <c r="AC22" s="96">
        <f t="shared" si="7"/>
        <v>75182.31499999999</v>
      </c>
      <c r="AD22" s="86">
        <f t="shared" si="8"/>
        <v>0</v>
      </c>
      <c r="AE22" s="86">
        <f t="shared" si="9"/>
        <v>12531.33</v>
      </c>
      <c r="AF22" s="86"/>
      <c r="AG22" s="16">
        <f t="shared" si="17"/>
        <v>4456.74</v>
      </c>
      <c r="AH22" s="16">
        <f>B22*0.2*0.9997</f>
        <v>1485.1343259999999</v>
      </c>
      <c r="AI22" s="16">
        <f>0.85*B22*0.98509</f>
        <v>6219.57750935</v>
      </c>
      <c r="AJ22" s="16">
        <f t="shared" si="10"/>
        <v>1119.523951683</v>
      </c>
      <c r="AK22" s="16">
        <f>0.83*B22*0.98981</f>
        <v>6102.3340501699995</v>
      </c>
      <c r="AL22" s="16">
        <f t="shared" si="11"/>
        <v>1098.4201290305998</v>
      </c>
      <c r="AM22" s="16">
        <f>(1.91)*B22*0.9898</f>
        <v>14042.5786522</v>
      </c>
      <c r="AN22" s="16">
        <f t="shared" si="12"/>
        <v>2527.664157396</v>
      </c>
      <c r="AO22" s="16"/>
      <c r="AP22" s="16">
        <f t="shared" si="13"/>
        <v>0</v>
      </c>
      <c r="AQ22" s="98"/>
      <c r="AR22" s="98">
        <f t="shared" si="14"/>
        <v>0</v>
      </c>
      <c r="AS22" s="81"/>
      <c r="AT22" s="81"/>
      <c r="AU22" s="81">
        <f t="shared" si="15"/>
        <v>0</v>
      </c>
      <c r="AV22" s="99"/>
      <c r="AW22" s="114">
        <f>3578+2380</f>
        <v>5958</v>
      </c>
      <c r="AX22" s="16">
        <f t="shared" si="18"/>
        <v>7874.0928</v>
      </c>
      <c r="AY22" s="101">
        <v>12407.208727609775</v>
      </c>
      <c r="AZ22" s="102"/>
      <c r="BA22" s="102">
        <f t="shared" si="19"/>
        <v>0</v>
      </c>
      <c r="BB22" s="102">
        <f t="shared" si="20"/>
        <v>57333.27430343937</v>
      </c>
      <c r="BC22" s="105"/>
      <c r="BD22" s="14">
        <f t="shared" si="3"/>
        <v>17849.040696560616</v>
      </c>
      <c r="BE22" s="29">
        <f t="shared" si="4"/>
        <v>4104.119999999995</v>
      </c>
    </row>
    <row r="23" spans="1:57" ht="12.75">
      <c r="A23" s="11" t="s">
        <v>41</v>
      </c>
      <c r="B23" s="129">
        <v>7427.1</v>
      </c>
      <c r="C23" s="107">
        <f t="shared" si="5"/>
        <v>64244.41500000001</v>
      </c>
      <c r="D23" s="106">
        <f t="shared" si="16"/>
        <v>6195.895000000011</v>
      </c>
      <c r="E23" s="137">
        <f>2940.32-11.35+2687.73</f>
        <v>5616.700000000001</v>
      </c>
      <c r="F23" s="117">
        <f>552.86+530.1</f>
        <v>1082.96</v>
      </c>
      <c r="G23" s="117">
        <f>3983.32-15.38+3640.76</f>
        <v>7608.700000000001</v>
      </c>
      <c r="H23" s="117">
        <f>749.39+718.57</f>
        <v>1467.96</v>
      </c>
      <c r="I23" s="117">
        <f>9569.98-36.93+8747.46</f>
        <v>18280.51</v>
      </c>
      <c r="J23" s="117">
        <f>1799.79+1725.76</f>
        <v>3525.55</v>
      </c>
      <c r="K23" s="117">
        <f>6629.62-25.6+6059.73</f>
        <v>12663.75</v>
      </c>
      <c r="L23" s="117">
        <f>1246.99+1195.68</f>
        <v>2442.67</v>
      </c>
      <c r="M23" s="117">
        <f>2352.27-9.07+2150.18</f>
        <v>4493.379999999999</v>
      </c>
      <c r="N23" s="118">
        <f>442.27+424.07</f>
        <v>866.3399999999999</v>
      </c>
      <c r="O23" s="118">
        <v>0</v>
      </c>
      <c r="P23" s="118">
        <v>0</v>
      </c>
      <c r="Q23" s="117">
        <v>10163.65</v>
      </c>
      <c r="R23" s="117">
        <v>1182.74</v>
      </c>
      <c r="S23" s="117">
        <f t="shared" si="6"/>
        <v>58826.69</v>
      </c>
      <c r="T23" s="119">
        <f t="shared" si="1"/>
        <v>10568.22</v>
      </c>
      <c r="U23" s="235">
        <v>6539.29</v>
      </c>
      <c r="V23" s="117">
        <v>8984.18</v>
      </c>
      <c r="W23" s="117">
        <v>21588.32</v>
      </c>
      <c r="X23" s="117">
        <v>14954.58</v>
      </c>
      <c r="Y23" s="117">
        <v>5307</v>
      </c>
      <c r="Z23" s="118">
        <v>0</v>
      </c>
      <c r="AA23" s="118">
        <v>14402.91</v>
      </c>
      <c r="AB23" s="118">
        <f t="shared" si="2"/>
        <v>71776.28</v>
      </c>
      <c r="AC23" s="120">
        <f>AB23+T23+D23</f>
        <v>88540.39500000002</v>
      </c>
      <c r="AD23" s="121">
        <f t="shared" si="8"/>
        <v>0</v>
      </c>
      <c r="AE23" s="121">
        <f t="shared" si="9"/>
        <v>15585.65</v>
      </c>
      <c r="AF23" s="121"/>
      <c r="AG23" s="122">
        <f t="shared" si="17"/>
        <v>4456.26</v>
      </c>
      <c r="AH23" s="122">
        <f>B23*0.2</f>
        <v>1485.42</v>
      </c>
      <c r="AI23" s="122">
        <f>0.847*B23</f>
        <v>6290.7537</v>
      </c>
      <c r="AJ23" s="122">
        <f t="shared" si="10"/>
        <v>1132.335666</v>
      </c>
      <c r="AK23" s="122">
        <f>(0.83*B23)</f>
        <v>6164.493</v>
      </c>
      <c r="AL23" s="122">
        <f t="shared" si="11"/>
        <v>1109.6087400000001</v>
      </c>
      <c r="AM23" s="122">
        <f>(2.25/1.18)*B23</f>
        <v>14161.843220338984</v>
      </c>
      <c r="AN23" s="122">
        <f t="shared" si="12"/>
        <v>2549.131779661017</v>
      </c>
      <c r="AO23" s="122"/>
      <c r="AP23" s="122">
        <f t="shared" si="13"/>
        <v>0</v>
      </c>
      <c r="AQ23" s="123">
        <f>2814.46+2028.96+16974</f>
        <v>21817.42</v>
      </c>
      <c r="AR23" s="123">
        <f t="shared" si="14"/>
        <v>3927.1355999999996</v>
      </c>
      <c r="AS23" s="124">
        <v>3461.84</v>
      </c>
      <c r="AT23" s="124">
        <f>300+400</f>
        <v>700</v>
      </c>
      <c r="AU23" s="124">
        <f t="shared" si="15"/>
        <v>749.1312</v>
      </c>
      <c r="AV23" s="125"/>
      <c r="AW23" s="126">
        <f>3175+2376</f>
        <v>5551</v>
      </c>
      <c r="AX23" s="122">
        <f t="shared" si="18"/>
        <v>7336.2016</v>
      </c>
      <c r="AY23" s="101">
        <f>B23*1.6704-0.02</f>
        <v>12406.207840000001</v>
      </c>
      <c r="AZ23" s="236"/>
      <c r="BA23" s="127">
        <f t="shared" si="19"/>
        <v>0</v>
      </c>
      <c r="BB23" s="102">
        <f t="shared" si="20"/>
        <v>87747.782346</v>
      </c>
      <c r="BC23" s="133"/>
      <c r="BD23" s="14">
        <f t="shared" si="3"/>
        <v>792.6126540000114</v>
      </c>
      <c r="BE23" s="29">
        <f t="shared" si="4"/>
        <v>12949.589999999997</v>
      </c>
    </row>
    <row r="24" spans="1:57" ht="12.75">
      <c r="A24" s="11" t="s">
        <v>42</v>
      </c>
      <c r="B24" s="116">
        <v>7427.1</v>
      </c>
      <c r="C24" s="107">
        <f t="shared" si="5"/>
        <v>64244.41500000001</v>
      </c>
      <c r="D24" s="106">
        <f t="shared" si="16"/>
        <v>6025.235000000009</v>
      </c>
      <c r="E24" s="117">
        <v>5643.56</v>
      </c>
      <c r="F24" s="117">
        <v>1075.86</v>
      </c>
      <c r="G24" s="117">
        <v>7644.89</v>
      </c>
      <c r="H24" s="117">
        <v>1458.36</v>
      </c>
      <c r="I24" s="117">
        <v>18367.73</v>
      </c>
      <c r="J24" s="117">
        <v>3502.47</v>
      </c>
      <c r="K24" s="117">
        <v>12724.1</v>
      </c>
      <c r="L24" s="117">
        <v>2426.69</v>
      </c>
      <c r="M24" s="117">
        <v>4514.86</v>
      </c>
      <c r="N24" s="118">
        <v>860.66</v>
      </c>
      <c r="O24" s="118">
        <v>0</v>
      </c>
      <c r="P24" s="118">
        <v>0</v>
      </c>
      <c r="Q24" s="118">
        <v>10653.74</v>
      </c>
      <c r="R24" s="118">
        <v>1182.4</v>
      </c>
      <c r="S24" s="117">
        <f t="shared" si="6"/>
        <v>59548.88</v>
      </c>
      <c r="T24" s="119">
        <f t="shared" si="1"/>
        <v>10506.44</v>
      </c>
      <c r="U24" s="117">
        <f>3037.19+2810.29</f>
        <v>5847.48</v>
      </c>
      <c r="V24" s="117">
        <f>4114.68+3805.23</f>
        <v>7919.91</v>
      </c>
      <c r="W24" s="117">
        <f>9885.5+9144.81</f>
        <v>19030.309999999998</v>
      </c>
      <c r="X24" s="117">
        <f>6848.28+6334.53</f>
        <v>13182.81</v>
      </c>
      <c r="Y24" s="117">
        <f>2429.8+2248.18</f>
        <v>4677.98</v>
      </c>
      <c r="Z24" s="118">
        <v>0</v>
      </c>
      <c r="AA24" s="118">
        <f>6006.77+5001.8</f>
        <v>11008.57</v>
      </c>
      <c r="AB24" s="118">
        <f t="shared" si="2"/>
        <v>61667.05999999999</v>
      </c>
      <c r="AC24" s="120">
        <f>D24+T24+AB24</f>
        <v>78198.735</v>
      </c>
      <c r="AD24" s="121">
        <f t="shared" si="8"/>
        <v>0</v>
      </c>
      <c r="AE24" s="121">
        <f t="shared" si="9"/>
        <v>12190.97</v>
      </c>
      <c r="AF24" s="121"/>
      <c r="AG24" s="122">
        <f t="shared" si="17"/>
        <v>4456.26</v>
      </c>
      <c r="AH24" s="122">
        <f>B24*0.2</f>
        <v>1485.42</v>
      </c>
      <c r="AI24" s="122">
        <f>0.85*B24</f>
        <v>6313.035</v>
      </c>
      <c r="AJ24" s="122">
        <f t="shared" si="10"/>
        <v>1136.3463</v>
      </c>
      <c r="AK24" s="122">
        <f>(0.83*B24)</f>
        <v>6164.493</v>
      </c>
      <c r="AL24" s="122">
        <f t="shared" si="11"/>
        <v>1109.6087400000001</v>
      </c>
      <c r="AM24" s="122">
        <f>(1.91)*B24</f>
        <v>14185.761</v>
      </c>
      <c r="AN24" s="122">
        <f t="shared" si="12"/>
        <v>2553.43698</v>
      </c>
      <c r="AO24" s="122"/>
      <c r="AP24" s="122">
        <f t="shared" si="13"/>
        <v>0</v>
      </c>
      <c r="AQ24" s="123"/>
      <c r="AR24" s="123">
        <f t="shared" si="14"/>
        <v>0</v>
      </c>
      <c r="AS24" s="124">
        <v>6136</v>
      </c>
      <c r="AT24" s="124">
        <f>2*375</f>
        <v>750</v>
      </c>
      <c r="AU24" s="124">
        <f t="shared" si="15"/>
        <v>1239.48</v>
      </c>
      <c r="AV24" s="125"/>
      <c r="AW24" s="126">
        <f>2685+1972</f>
        <v>4657</v>
      </c>
      <c r="AX24" s="122">
        <f t="shared" si="18"/>
        <v>6154.6912</v>
      </c>
      <c r="AY24" s="101">
        <f>B24*1.67044+0.02</f>
        <v>12406.544924</v>
      </c>
      <c r="AZ24" s="127"/>
      <c r="BA24" s="127">
        <f t="shared" si="19"/>
        <v>0</v>
      </c>
      <c r="BB24" s="102">
        <f t="shared" si="20"/>
        <v>64091.077143999995</v>
      </c>
      <c r="BC24" s="128"/>
      <c r="BD24" s="14">
        <f t="shared" si="3"/>
        <v>14107.657856000005</v>
      </c>
      <c r="BE24" s="29">
        <f t="shared" si="4"/>
        <v>2118.179999999993</v>
      </c>
    </row>
    <row r="25" spans="1:57" ht="12.75">
      <c r="A25" s="11" t="s">
        <v>43</v>
      </c>
      <c r="B25" s="129">
        <v>7427.1</v>
      </c>
      <c r="C25" s="107">
        <f t="shared" si="5"/>
        <v>64244.41500000001</v>
      </c>
      <c r="D25" s="106">
        <f t="shared" si="16"/>
        <v>5998.295000000007</v>
      </c>
      <c r="E25" s="117">
        <v>5672.94</v>
      </c>
      <c r="F25" s="117">
        <v>1049.63</v>
      </c>
      <c r="G25" s="117">
        <v>7684.58</v>
      </c>
      <c r="H25" s="117">
        <v>1422.79</v>
      </c>
      <c r="I25" s="117">
        <v>18463.3</v>
      </c>
      <c r="J25" s="117">
        <v>3417.03</v>
      </c>
      <c r="K25" s="117">
        <v>12790.28</v>
      </c>
      <c r="L25" s="117">
        <v>2367.5</v>
      </c>
      <c r="M25" s="117">
        <v>4538.41</v>
      </c>
      <c r="N25" s="118">
        <v>839.66</v>
      </c>
      <c r="O25" s="118">
        <v>0</v>
      </c>
      <c r="P25" s="118">
        <v>0</v>
      </c>
      <c r="Q25" s="118">
        <v>10090.21</v>
      </c>
      <c r="R25" s="118">
        <v>1160.83</v>
      </c>
      <c r="S25" s="117">
        <f t="shared" si="6"/>
        <v>59239.719999999994</v>
      </c>
      <c r="T25" s="119">
        <f t="shared" si="1"/>
        <v>10257.44</v>
      </c>
      <c r="U25" s="117">
        <v>6970.41</v>
      </c>
      <c r="V25" s="117">
        <v>9442.03</v>
      </c>
      <c r="W25" s="117">
        <v>22685.92</v>
      </c>
      <c r="X25" s="117">
        <v>15715.32</v>
      </c>
      <c r="Y25" s="117">
        <v>5576.42</v>
      </c>
      <c r="Z25" s="118">
        <v>0</v>
      </c>
      <c r="AA25" s="118">
        <v>12547.73</v>
      </c>
      <c r="AB25" s="118">
        <f t="shared" si="2"/>
        <v>72937.83</v>
      </c>
      <c r="AC25" s="120">
        <f>D25+T25+AB25</f>
        <v>89193.565</v>
      </c>
      <c r="AD25" s="121">
        <f t="shared" si="8"/>
        <v>0</v>
      </c>
      <c r="AE25" s="121">
        <f t="shared" si="9"/>
        <v>13708.56</v>
      </c>
      <c r="AF25" s="121"/>
      <c r="AG25" s="122">
        <f t="shared" si="17"/>
        <v>4456.26</v>
      </c>
      <c r="AH25" s="122">
        <f>B25*0.2</f>
        <v>1485.42</v>
      </c>
      <c r="AI25" s="122">
        <f>0.85*B25</f>
        <v>6313.035</v>
      </c>
      <c r="AJ25" s="122">
        <f t="shared" si="10"/>
        <v>1136.3463</v>
      </c>
      <c r="AK25" s="122">
        <f>(0.83*B25)</f>
        <v>6164.493</v>
      </c>
      <c r="AL25" s="122">
        <f t="shared" si="11"/>
        <v>1109.6087400000001</v>
      </c>
      <c r="AM25" s="122">
        <f>(1.91)*B25</f>
        <v>14185.761</v>
      </c>
      <c r="AN25" s="122">
        <f t="shared" si="12"/>
        <v>2553.43698</v>
      </c>
      <c r="AO25" s="122"/>
      <c r="AP25" s="122">
        <f t="shared" si="13"/>
        <v>0</v>
      </c>
      <c r="AQ25" s="123"/>
      <c r="AR25" s="123">
        <f t="shared" si="14"/>
        <v>0</v>
      </c>
      <c r="AS25" s="124">
        <v>5028</v>
      </c>
      <c r="AT25" s="124">
        <f>34*375+292</f>
        <v>13042</v>
      </c>
      <c r="AU25" s="124">
        <f t="shared" si="15"/>
        <v>3252.6</v>
      </c>
      <c r="AV25" s="125"/>
      <c r="AW25" s="126">
        <f>2892+2130</f>
        <v>5022</v>
      </c>
      <c r="AX25" s="122">
        <f t="shared" si="18"/>
        <v>6637.0752</v>
      </c>
      <c r="AY25" s="101">
        <f>B25*1.67082-0.03</f>
        <v>12409.317222</v>
      </c>
      <c r="AZ25" s="127"/>
      <c r="BA25" s="127">
        <f t="shared" si="19"/>
        <v>0</v>
      </c>
      <c r="BB25" s="127">
        <f>SUM(AG25:BA25)-AV25-AW25</f>
        <v>77773.35344199999</v>
      </c>
      <c r="BC25" s="128"/>
      <c r="BD25" s="14">
        <f t="shared" si="3"/>
        <v>11420.21155800001</v>
      </c>
      <c r="BE25" s="29">
        <f>AB25-S25</f>
        <v>13698.110000000008</v>
      </c>
    </row>
    <row r="26" spans="1:57" s="20" customFormat="1" ht="12.75">
      <c r="A26" s="17" t="s">
        <v>5</v>
      </c>
      <c r="B26" s="56"/>
      <c r="C26" s="19">
        <f aca="true" t="shared" si="21" ref="C26:BD26">SUM(C14:C25)+C12</f>
        <v>964542.4700000001</v>
      </c>
      <c r="D26" s="19">
        <f t="shared" si="21"/>
        <v>130854.41715760002</v>
      </c>
      <c r="E26" s="19">
        <f t="shared" si="21"/>
        <v>80699.6</v>
      </c>
      <c r="F26" s="19">
        <f t="shared" si="21"/>
        <v>14703.110000000002</v>
      </c>
      <c r="G26" s="19">
        <f t="shared" si="21"/>
        <v>109154.16000000002</v>
      </c>
      <c r="H26" s="19">
        <f t="shared" si="21"/>
        <v>19895.870000000003</v>
      </c>
      <c r="I26" s="19">
        <f t="shared" si="21"/>
        <v>262413.96</v>
      </c>
      <c r="J26" s="19">
        <f t="shared" si="21"/>
        <v>47831.63</v>
      </c>
      <c r="K26" s="19">
        <f t="shared" si="21"/>
        <v>184255.38</v>
      </c>
      <c r="L26" s="19">
        <f t="shared" si="21"/>
        <v>33524.369999999995</v>
      </c>
      <c r="M26" s="19">
        <f t="shared" si="21"/>
        <v>64559.33</v>
      </c>
      <c r="N26" s="19">
        <f t="shared" si="21"/>
        <v>12124</v>
      </c>
      <c r="O26" s="19">
        <f t="shared" si="21"/>
        <v>0</v>
      </c>
      <c r="P26" s="19">
        <f t="shared" si="21"/>
        <v>0</v>
      </c>
      <c r="Q26" s="19">
        <f t="shared" si="21"/>
        <v>114148.82999999999</v>
      </c>
      <c r="R26" s="19">
        <f t="shared" si="21"/>
        <v>13748.67</v>
      </c>
      <c r="S26" s="19">
        <f t="shared" si="21"/>
        <v>815231.26</v>
      </c>
      <c r="T26" s="19">
        <f t="shared" si="21"/>
        <v>141827.65</v>
      </c>
      <c r="U26" s="19">
        <f t="shared" si="21"/>
        <v>75223.06000000001</v>
      </c>
      <c r="V26" s="19">
        <f t="shared" si="21"/>
        <v>101155.54999999999</v>
      </c>
      <c r="W26" s="19">
        <f t="shared" si="21"/>
        <v>240389.03999999998</v>
      </c>
      <c r="X26" s="19">
        <f t="shared" si="21"/>
        <v>167140.06</v>
      </c>
      <c r="Y26" s="19">
        <f t="shared" si="21"/>
        <v>60653.56</v>
      </c>
      <c r="Z26" s="19">
        <f t="shared" si="21"/>
        <v>0</v>
      </c>
      <c r="AA26" s="19">
        <f t="shared" si="21"/>
        <v>126836.00000000001</v>
      </c>
      <c r="AB26" s="19">
        <f t="shared" si="21"/>
        <v>771397.2699999998</v>
      </c>
      <c r="AC26" s="19">
        <f t="shared" si="21"/>
        <v>1044079.3371575999</v>
      </c>
      <c r="AD26" s="19">
        <f t="shared" si="21"/>
        <v>0</v>
      </c>
      <c r="AE26" s="19">
        <f t="shared" si="21"/>
        <v>140584.67</v>
      </c>
      <c r="AF26" s="19">
        <f t="shared" si="21"/>
        <v>0</v>
      </c>
      <c r="AG26" s="19">
        <f t="shared" si="21"/>
        <v>65119.46400000001</v>
      </c>
      <c r="AH26" s="19">
        <f t="shared" si="21"/>
        <v>21915.118203799997</v>
      </c>
      <c r="AI26" s="19">
        <f t="shared" si="21"/>
        <v>91309.89558975</v>
      </c>
      <c r="AJ26" s="19">
        <f t="shared" si="21"/>
        <v>16435.781206155</v>
      </c>
      <c r="AK26" s="19">
        <f t="shared" si="21"/>
        <v>92392.91918915</v>
      </c>
      <c r="AL26" s="19">
        <f t="shared" si="21"/>
        <v>16630.725454047</v>
      </c>
      <c r="AM26" s="19">
        <f t="shared" si="21"/>
        <v>202325.54655895897</v>
      </c>
      <c r="AN26" s="19">
        <f t="shared" si="21"/>
        <v>36418.59838061261</v>
      </c>
      <c r="AO26" s="19">
        <f t="shared" si="21"/>
        <v>0</v>
      </c>
      <c r="AP26" s="19">
        <f t="shared" si="21"/>
        <v>0</v>
      </c>
      <c r="AQ26" s="19">
        <f t="shared" si="21"/>
        <v>21817.42</v>
      </c>
      <c r="AR26" s="19">
        <f t="shared" si="21"/>
        <v>3927.1355999999996</v>
      </c>
      <c r="AS26" s="19">
        <f t="shared" si="21"/>
        <v>86003.34999999999</v>
      </c>
      <c r="AT26" s="19">
        <f t="shared" si="21"/>
        <v>14492</v>
      </c>
      <c r="AU26" s="19">
        <f t="shared" si="21"/>
        <v>18089.163</v>
      </c>
      <c r="AV26" s="19">
        <f t="shared" si="21"/>
        <v>0</v>
      </c>
      <c r="AW26" s="19">
        <f t="shared" si="21"/>
        <v>63967</v>
      </c>
      <c r="AX26" s="19">
        <f t="shared" si="21"/>
        <v>84538.78480000001</v>
      </c>
      <c r="AY26" s="19">
        <f t="shared" si="21"/>
        <v>149105.3193891727</v>
      </c>
      <c r="AZ26" s="19">
        <f t="shared" si="21"/>
        <v>0</v>
      </c>
      <c r="BA26" s="19">
        <f t="shared" si="21"/>
        <v>0</v>
      </c>
      <c r="BB26" s="19">
        <f t="shared" si="21"/>
        <v>920521.2213716463</v>
      </c>
      <c r="BC26" s="19">
        <f t="shared" si="21"/>
        <v>0</v>
      </c>
      <c r="BD26" s="19">
        <f t="shared" si="21"/>
        <v>123558.11578595375</v>
      </c>
      <c r="BE26" s="19">
        <f>SUM(BE14:BE25)+BE12</f>
        <v>-43833.990000000005</v>
      </c>
    </row>
    <row r="27" spans="1:57" ht="15" customHeight="1">
      <c r="A27" s="5" t="s">
        <v>92</v>
      </c>
      <c r="B27" s="54"/>
      <c r="C27" s="55"/>
      <c r="D27" s="55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1"/>
      <c r="R27" s="51"/>
      <c r="S27" s="51"/>
      <c r="T27" s="51"/>
      <c r="U27" s="58"/>
      <c r="V27" s="58"/>
      <c r="W27" s="58"/>
      <c r="X27" s="58"/>
      <c r="Y27" s="58"/>
      <c r="Z27" s="58"/>
      <c r="AA27" s="50"/>
      <c r="AB27" s="50"/>
      <c r="AC27" s="82"/>
      <c r="AD27" s="82"/>
      <c r="AE27" s="83"/>
      <c r="AF27" s="83"/>
      <c r="AG27" s="14"/>
      <c r="AH27" s="14"/>
      <c r="AI27" s="14"/>
      <c r="AJ27" s="14"/>
      <c r="AK27" s="14"/>
      <c r="AL27" s="14"/>
      <c r="AM27" s="14"/>
      <c r="AN27" s="14"/>
      <c r="AO27" s="30"/>
      <c r="AP27" s="30"/>
      <c r="AQ27" s="30"/>
      <c r="AR27" s="30"/>
      <c r="AS27" s="79"/>
      <c r="AT27" s="79"/>
      <c r="AU27" s="46"/>
      <c r="AV27" s="46"/>
      <c r="AW27" s="46"/>
      <c r="AX27" s="30"/>
      <c r="AY27" s="30"/>
      <c r="AZ27" s="30"/>
      <c r="BA27" s="14"/>
      <c r="BB27" s="14"/>
      <c r="BC27" s="14"/>
      <c r="BD27" s="14"/>
      <c r="BE27" s="29"/>
    </row>
    <row r="28" spans="1:57" ht="12.75">
      <c r="A28" s="11" t="s">
        <v>45</v>
      </c>
      <c r="B28" s="129">
        <v>7427.1</v>
      </c>
      <c r="C28" s="107">
        <f aca="true" t="shared" si="22" ref="C28:C39">B28*8.65</f>
        <v>64244.41500000001</v>
      </c>
      <c r="D28" s="106">
        <f aca="true" t="shared" si="23" ref="D28:D34">C28-E28-F28-G28-H28-I28-J28-K28-L28-M28-N28</f>
        <v>5998.235000000008</v>
      </c>
      <c r="E28" s="117">
        <v>5670.86</v>
      </c>
      <c r="F28" s="117">
        <v>1051.72</v>
      </c>
      <c r="G28" s="117">
        <v>7681.78</v>
      </c>
      <c r="H28" s="117">
        <v>1425.61</v>
      </c>
      <c r="I28" s="117">
        <v>18456.48</v>
      </c>
      <c r="J28" s="117">
        <v>3423.87</v>
      </c>
      <c r="K28" s="117">
        <v>12785.58</v>
      </c>
      <c r="L28" s="117">
        <v>2372.21</v>
      </c>
      <c r="M28" s="117">
        <v>4536.73</v>
      </c>
      <c r="N28" s="118">
        <v>841.34</v>
      </c>
      <c r="O28" s="118">
        <v>0</v>
      </c>
      <c r="P28" s="118">
        <v>0</v>
      </c>
      <c r="Q28" s="118">
        <v>10092.64</v>
      </c>
      <c r="R28" s="118">
        <v>1160.83</v>
      </c>
      <c r="S28" s="117">
        <f>E28+G28+I28+K28+M28+O28+Q28</f>
        <v>59224.06999999999</v>
      </c>
      <c r="T28" s="119">
        <f aca="true" t="shared" si="24" ref="T28:T39">P28+N28+L28+J28+H28+F28+R28</f>
        <v>10275.58</v>
      </c>
      <c r="U28" s="117">
        <v>3651.9</v>
      </c>
      <c r="V28" s="117">
        <v>4947.83</v>
      </c>
      <c r="W28" s="117">
        <v>11886.46</v>
      </c>
      <c r="X28" s="117">
        <v>8234.43</v>
      </c>
      <c r="Y28" s="117">
        <v>2921.58</v>
      </c>
      <c r="Z28" s="118">
        <v>0</v>
      </c>
      <c r="AA28" s="118">
        <v>6445.4</v>
      </c>
      <c r="AB28" s="118">
        <f>SUM(U28:AA28)</f>
        <v>38087.6</v>
      </c>
      <c r="AC28" s="120">
        <f aca="true" t="shared" si="25" ref="AC28:AC39">D28+T28+AB28</f>
        <v>54361.41500000001</v>
      </c>
      <c r="AD28" s="121">
        <f aca="true" t="shared" si="26" ref="AD28:AD39">P28+Z28</f>
        <v>0</v>
      </c>
      <c r="AE28" s="121">
        <f aca="true" t="shared" si="27" ref="AE28:AE39">R28+AA28</f>
        <v>7606.23</v>
      </c>
      <c r="AF28" s="121"/>
      <c r="AG28" s="122">
        <f aca="true" t="shared" si="28" ref="AG28:AG39">0.6*B28</f>
        <v>4456.26</v>
      </c>
      <c r="AH28" s="122">
        <f aca="true" t="shared" si="29" ref="AH28:AH39">B28*0.2</f>
        <v>1485.42</v>
      </c>
      <c r="AI28" s="122">
        <f aca="true" t="shared" si="30" ref="AI28:AI39">1*B28</f>
        <v>7427.1</v>
      </c>
      <c r="AJ28" s="122">
        <v>0</v>
      </c>
      <c r="AK28" s="122">
        <f aca="true" t="shared" si="31" ref="AK28:AK39">0.98*B28</f>
        <v>7278.558</v>
      </c>
      <c r="AL28" s="122">
        <v>0</v>
      </c>
      <c r="AM28" s="122">
        <f aca="true" t="shared" si="32" ref="AM28:AM39">2.25*B28</f>
        <v>16710.975000000002</v>
      </c>
      <c r="AN28" s="122">
        <v>0</v>
      </c>
      <c r="AO28" s="122"/>
      <c r="AP28" s="122">
        <v>0</v>
      </c>
      <c r="AQ28" s="123"/>
      <c r="AR28" s="123"/>
      <c r="AS28" s="124">
        <v>1900</v>
      </c>
      <c r="AT28" s="124">
        <v>104</v>
      </c>
      <c r="AU28" s="124">
        <f>AT28*0</f>
        <v>0</v>
      </c>
      <c r="AV28" s="125"/>
      <c r="AW28" s="126">
        <f>2409+1705</f>
        <v>4114</v>
      </c>
      <c r="AX28" s="122">
        <f aca="true" t="shared" si="33" ref="AX28:AX39">AW28*1.4</f>
        <v>5759.599999999999</v>
      </c>
      <c r="AY28" s="101">
        <f>B28*1.67081+0.04</f>
        <v>12409.312951</v>
      </c>
      <c r="AZ28" s="127"/>
      <c r="BA28" s="127">
        <f aca="true" t="shared" si="34" ref="BA28:BA36">AZ28*0.18</f>
        <v>0</v>
      </c>
      <c r="BB28" s="127">
        <f aca="true" t="shared" si="35" ref="BB28:BB39">SUM(AG28:BA28)-AV28-AW28</f>
        <v>57531.225951</v>
      </c>
      <c r="BC28" s="128"/>
      <c r="BD28" s="14">
        <f>AC28+AF28-BB28-BC28</f>
        <v>-3169.810950999992</v>
      </c>
      <c r="BE28" s="29">
        <f>AB28-S28</f>
        <v>-21136.469999999994</v>
      </c>
    </row>
    <row r="29" spans="1:57" ht="12.75">
      <c r="A29" s="11" t="s">
        <v>46</v>
      </c>
      <c r="B29" s="116">
        <v>7427.1</v>
      </c>
      <c r="C29" s="107">
        <f t="shared" si="22"/>
        <v>64244.41500000001</v>
      </c>
      <c r="D29" s="106">
        <f t="shared" si="23"/>
        <v>5980.335000000005</v>
      </c>
      <c r="E29" s="130">
        <v>5672.96</v>
      </c>
      <c r="F29" s="131">
        <v>1051.73</v>
      </c>
      <c r="G29" s="131">
        <v>7684.54</v>
      </c>
      <c r="H29" s="131">
        <v>1425.61</v>
      </c>
      <c r="I29" s="131">
        <v>18463.25</v>
      </c>
      <c r="J29" s="131">
        <v>3423.84</v>
      </c>
      <c r="K29" s="131">
        <v>12790.2</v>
      </c>
      <c r="L29" s="131">
        <v>2372.22</v>
      </c>
      <c r="M29" s="131">
        <v>4538.4</v>
      </c>
      <c r="N29" s="132">
        <v>841.33</v>
      </c>
      <c r="O29" s="132">
        <v>0</v>
      </c>
      <c r="P29" s="132">
        <v>0</v>
      </c>
      <c r="Q29" s="132">
        <v>8278.01</v>
      </c>
      <c r="R29" s="132">
        <v>1024.77</v>
      </c>
      <c r="S29" s="117">
        <f>E29+G29+I29+K29+M29+O29+Q29</f>
        <v>57427.36</v>
      </c>
      <c r="T29" s="119">
        <f t="shared" si="24"/>
        <v>10139.5</v>
      </c>
      <c r="U29" s="117">
        <v>5892.51</v>
      </c>
      <c r="V29" s="117">
        <v>7978.6</v>
      </c>
      <c r="W29" s="117">
        <v>19174.42</v>
      </c>
      <c r="X29" s="117">
        <v>13281.91</v>
      </c>
      <c r="Y29" s="117">
        <v>4714.08</v>
      </c>
      <c r="Z29" s="118">
        <v>0</v>
      </c>
      <c r="AA29" s="118">
        <v>7881.07</v>
      </c>
      <c r="AB29" s="118">
        <f>SUM(U29:AA29)</f>
        <v>58922.590000000004</v>
      </c>
      <c r="AC29" s="120">
        <f t="shared" si="25"/>
        <v>75042.425</v>
      </c>
      <c r="AD29" s="121">
        <f t="shared" si="26"/>
        <v>0</v>
      </c>
      <c r="AE29" s="121">
        <f t="shared" si="27"/>
        <v>8905.84</v>
      </c>
      <c r="AF29" s="121"/>
      <c r="AG29" s="122">
        <f t="shared" si="28"/>
        <v>4456.26</v>
      </c>
      <c r="AH29" s="122">
        <f t="shared" si="29"/>
        <v>1485.42</v>
      </c>
      <c r="AI29" s="122">
        <f t="shared" si="30"/>
        <v>7427.1</v>
      </c>
      <c r="AJ29" s="122">
        <v>0</v>
      </c>
      <c r="AK29" s="122">
        <f t="shared" si="31"/>
        <v>7278.558</v>
      </c>
      <c r="AL29" s="122">
        <v>0</v>
      </c>
      <c r="AM29" s="122">
        <f t="shared" si="32"/>
        <v>16710.975000000002</v>
      </c>
      <c r="AN29" s="122">
        <v>0</v>
      </c>
      <c r="AO29" s="122"/>
      <c r="AP29" s="122"/>
      <c r="AQ29" s="123"/>
      <c r="AR29" s="123"/>
      <c r="AS29" s="124">
        <v>19729</v>
      </c>
      <c r="AT29" s="124"/>
      <c r="AU29" s="124">
        <f>AT29*0.18</f>
        <v>0</v>
      </c>
      <c r="AV29" s="125"/>
      <c r="AW29" s="126">
        <f>2132+1746</f>
        <v>3878</v>
      </c>
      <c r="AX29" s="122">
        <f t="shared" si="33"/>
        <v>5429.2</v>
      </c>
      <c r="AY29" s="101">
        <f>B29*1.67092+0.01</f>
        <v>12410.099932000001</v>
      </c>
      <c r="AZ29" s="127"/>
      <c r="BA29" s="127">
        <f t="shared" si="34"/>
        <v>0</v>
      </c>
      <c r="BB29" s="127">
        <f t="shared" si="35"/>
        <v>74926.612932</v>
      </c>
      <c r="BC29" s="128"/>
      <c r="BD29" s="14">
        <f aca="true" t="shared" si="36" ref="BD29:BD39">AC29+AF29-BB29-BC29</f>
        <v>115.81206799999927</v>
      </c>
      <c r="BE29" s="29">
        <f aca="true" t="shared" si="37" ref="BE29:BE39">AB29-S29</f>
        <v>1495.2300000000032</v>
      </c>
    </row>
    <row r="30" spans="1:57" ht="12.75">
      <c r="A30" s="11" t="s">
        <v>47</v>
      </c>
      <c r="B30" s="129">
        <v>7427.1</v>
      </c>
      <c r="C30" s="107">
        <f t="shared" si="22"/>
        <v>64244.41500000001</v>
      </c>
      <c r="D30" s="106">
        <f t="shared" si="23"/>
        <v>5964.155000000003</v>
      </c>
      <c r="E30" s="117">
        <v>5648.08</v>
      </c>
      <c r="F30" s="117">
        <v>1078.5</v>
      </c>
      <c r="G30" s="117">
        <v>7650.69</v>
      </c>
      <c r="H30" s="117">
        <v>1461.91</v>
      </c>
      <c r="I30" s="117">
        <v>18382.16</v>
      </c>
      <c r="J30" s="117">
        <v>3511.03</v>
      </c>
      <c r="K30" s="117">
        <v>12733.98</v>
      </c>
      <c r="L30" s="117">
        <v>2432.62</v>
      </c>
      <c r="M30" s="117">
        <v>4518.54</v>
      </c>
      <c r="N30" s="118">
        <v>862.75</v>
      </c>
      <c r="O30" s="118">
        <v>0</v>
      </c>
      <c r="P30" s="118">
        <v>0</v>
      </c>
      <c r="Q30" s="118">
        <v>9721.96</v>
      </c>
      <c r="R30" s="118">
        <v>1209.33</v>
      </c>
      <c r="S30" s="117">
        <f>E30+G30+I30+K30+M30+O30+Q30</f>
        <v>58655.41</v>
      </c>
      <c r="T30" s="119">
        <f t="shared" si="24"/>
        <v>10556.14</v>
      </c>
      <c r="U30" s="117">
        <v>7400.67</v>
      </c>
      <c r="V30" s="117">
        <v>10025.02</v>
      </c>
      <c r="W30" s="117">
        <v>24086.43</v>
      </c>
      <c r="X30" s="117">
        <v>16685.57</v>
      </c>
      <c r="Y30" s="117">
        <v>5920.41</v>
      </c>
      <c r="Z30" s="118">
        <v>0</v>
      </c>
      <c r="AA30" s="118">
        <v>13103.38</v>
      </c>
      <c r="AB30" s="118">
        <f>SUM(U30:AA30)</f>
        <v>77221.48000000001</v>
      </c>
      <c r="AC30" s="120">
        <f t="shared" si="25"/>
        <v>93741.77500000001</v>
      </c>
      <c r="AD30" s="121">
        <f t="shared" si="26"/>
        <v>0</v>
      </c>
      <c r="AE30" s="121">
        <f t="shared" si="27"/>
        <v>14312.71</v>
      </c>
      <c r="AF30" s="121"/>
      <c r="AG30" s="122">
        <f t="shared" si="28"/>
        <v>4456.26</v>
      </c>
      <c r="AH30" s="122">
        <f t="shared" si="29"/>
        <v>1485.42</v>
      </c>
      <c r="AI30" s="122">
        <f t="shared" si="30"/>
        <v>7427.1</v>
      </c>
      <c r="AJ30" s="122">
        <v>0</v>
      </c>
      <c r="AK30" s="122">
        <f t="shared" si="31"/>
        <v>7278.558</v>
      </c>
      <c r="AL30" s="122">
        <v>0</v>
      </c>
      <c r="AM30" s="122">
        <f t="shared" si="32"/>
        <v>16710.975000000002</v>
      </c>
      <c r="AN30" s="122">
        <v>0</v>
      </c>
      <c r="AO30" s="133">
        <v>9394.92</v>
      </c>
      <c r="AP30" s="122"/>
      <c r="AQ30" s="123">
        <v>7043</v>
      </c>
      <c r="AR30" s="123"/>
      <c r="AS30" s="124">
        <v>9979</v>
      </c>
      <c r="AT30" s="124"/>
      <c r="AU30" s="124">
        <f>AT30*0.18</f>
        <v>0</v>
      </c>
      <c r="AV30" s="125"/>
      <c r="AW30" s="126">
        <f>2199+1652</f>
        <v>3851</v>
      </c>
      <c r="AX30" s="122">
        <f t="shared" si="33"/>
        <v>5391.4</v>
      </c>
      <c r="AY30" s="101">
        <f>B30*1.67092+0.01</f>
        <v>12410.099932000001</v>
      </c>
      <c r="AZ30" s="127"/>
      <c r="BA30" s="127">
        <f t="shared" si="34"/>
        <v>0</v>
      </c>
      <c r="BB30" s="127">
        <f t="shared" si="35"/>
        <v>81576.732932</v>
      </c>
      <c r="BC30" s="128"/>
      <c r="BD30" s="14">
        <f t="shared" si="36"/>
        <v>12165.04206800001</v>
      </c>
      <c r="BE30" s="29">
        <f t="shared" si="37"/>
        <v>18566.070000000007</v>
      </c>
    </row>
    <row r="31" spans="1:57" ht="12.75">
      <c r="A31" s="11" t="s">
        <v>48</v>
      </c>
      <c r="B31" s="129">
        <v>7427.1</v>
      </c>
      <c r="C31" s="107">
        <f t="shared" si="22"/>
        <v>64244.41500000001</v>
      </c>
      <c r="D31" s="90">
        <f t="shared" si="23"/>
        <v>5944.035000000009</v>
      </c>
      <c r="E31" s="117">
        <v>5633.44</v>
      </c>
      <c r="F31" s="117">
        <v>1095.52</v>
      </c>
      <c r="G31" s="117">
        <v>7630.74</v>
      </c>
      <c r="H31" s="117">
        <v>1484.94</v>
      </c>
      <c r="I31" s="117">
        <v>18334.37</v>
      </c>
      <c r="J31" s="117">
        <v>3566.4</v>
      </c>
      <c r="K31" s="117">
        <v>12700.84</v>
      </c>
      <c r="L31" s="117">
        <v>2470.96</v>
      </c>
      <c r="M31" s="117">
        <v>4506.81</v>
      </c>
      <c r="N31" s="118">
        <v>876.36</v>
      </c>
      <c r="O31" s="118">
        <v>0</v>
      </c>
      <c r="P31" s="118">
        <v>0</v>
      </c>
      <c r="Q31" s="118">
        <v>9758.13</v>
      </c>
      <c r="R31" s="118">
        <v>1217.92</v>
      </c>
      <c r="S31" s="117">
        <f>E31+G31+I31+K31+M31+O31+Q31</f>
        <v>58564.329999999994</v>
      </c>
      <c r="T31" s="119">
        <f t="shared" si="24"/>
        <v>10712.1</v>
      </c>
      <c r="U31" s="117">
        <v>5121.16</v>
      </c>
      <c r="V31" s="117">
        <v>6913.63</v>
      </c>
      <c r="W31" s="117">
        <v>16632.86</v>
      </c>
      <c r="X31" s="117">
        <v>11522.36</v>
      </c>
      <c r="Y31" s="117">
        <v>4097.07</v>
      </c>
      <c r="Z31" s="118">
        <v>0</v>
      </c>
      <c r="AA31" s="118">
        <v>9486.48</v>
      </c>
      <c r="AB31" s="118">
        <f>SUM(U31:AA31)</f>
        <v>53773.56</v>
      </c>
      <c r="AC31" s="120">
        <f t="shared" si="25"/>
        <v>70429.695</v>
      </c>
      <c r="AD31" s="121">
        <f t="shared" si="26"/>
        <v>0</v>
      </c>
      <c r="AE31" s="121">
        <f t="shared" si="27"/>
        <v>10704.4</v>
      </c>
      <c r="AF31" s="121"/>
      <c r="AG31" s="122">
        <f t="shared" si="28"/>
        <v>4456.26</v>
      </c>
      <c r="AH31" s="122">
        <f t="shared" si="29"/>
        <v>1485.42</v>
      </c>
      <c r="AI31" s="122">
        <f t="shared" si="30"/>
        <v>7427.1</v>
      </c>
      <c r="AJ31" s="122">
        <v>0</v>
      </c>
      <c r="AK31" s="122">
        <f t="shared" si="31"/>
        <v>7278.558</v>
      </c>
      <c r="AL31" s="122">
        <v>0</v>
      </c>
      <c r="AM31" s="122">
        <f t="shared" si="32"/>
        <v>16710.975000000002</v>
      </c>
      <c r="AN31" s="122">
        <v>0</v>
      </c>
      <c r="AO31" s="122"/>
      <c r="AP31" s="122"/>
      <c r="AQ31" s="123"/>
      <c r="AR31" s="123"/>
      <c r="AS31" s="124">
        <v>9306</v>
      </c>
      <c r="AT31" s="124">
        <v>500</v>
      </c>
      <c r="AU31" s="124">
        <f>AT31*0</f>
        <v>0</v>
      </c>
      <c r="AV31" s="125"/>
      <c r="AW31" s="126">
        <f>2506+2050</f>
        <v>4556</v>
      </c>
      <c r="AX31" s="122">
        <f t="shared" si="33"/>
        <v>6378.4</v>
      </c>
      <c r="AY31" s="101">
        <f>B31*1.67092+0.01</f>
        <v>12410.099932000001</v>
      </c>
      <c r="AZ31" s="127"/>
      <c r="BA31" s="127">
        <f t="shared" si="34"/>
        <v>0</v>
      </c>
      <c r="BB31" s="127">
        <f t="shared" si="35"/>
        <v>65952.812932</v>
      </c>
      <c r="BC31" s="128"/>
      <c r="BD31" s="14">
        <f t="shared" si="36"/>
        <v>4476.882068000006</v>
      </c>
      <c r="BE31" s="29">
        <f t="shared" si="37"/>
        <v>-4790.769999999997</v>
      </c>
    </row>
    <row r="32" spans="1:57" ht="12.75">
      <c r="A32" s="11" t="s">
        <v>49</v>
      </c>
      <c r="B32" s="129">
        <v>7445.1</v>
      </c>
      <c r="C32" s="107">
        <f t="shared" si="22"/>
        <v>64400.115000000005</v>
      </c>
      <c r="D32" s="106">
        <f t="shared" si="23"/>
        <v>5979.275000000004</v>
      </c>
      <c r="E32" s="117">
        <v>5652.94</v>
      </c>
      <c r="F32" s="117">
        <v>1089.93</v>
      </c>
      <c r="G32" s="117">
        <v>7657.2</v>
      </c>
      <c r="H32" s="117">
        <v>1477.37</v>
      </c>
      <c r="I32" s="117">
        <v>18397.79</v>
      </c>
      <c r="J32" s="117">
        <v>3548.17</v>
      </c>
      <c r="K32" s="117">
        <v>12744.8</v>
      </c>
      <c r="L32" s="117">
        <v>2458.35</v>
      </c>
      <c r="M32" s="117">
        <v>4522.4</v>
      </c>
      <c r="N32" s="118">
        <v>871.89</v>
      </c>
      <c r="O32" s="118">
        <v>0</v>
      </c>
      <c r="P32" s="118">
        <v>0</v>
      </c>
      <c r="Q32" s="118">
        <v>9797.91</v>
      </c>
      <c r="R32" s="118">
        <v>1217.92</v>
      </c>
      <c r="S32" s="117">
        <f aca="true" t="shared" si="38" ref="S32:S39">E32+G32+I32+K32+M32+O32+Q32</f>
        <v>58773.03999999999</v>
      </c>
      <c r="T32" s="119">
        <f t="shared" si="24"/>
        <v>10663.63</v>
      </c>
      <c r="U32" s="134">
        <v>5797.75</v>
      </c>
      <c r="V32" s="134">
        <v>7852.7</v>
      </c>
      <c r="W32" s="134">
        <v>18872.55</v>
      </c>
      <c r="X32" s="134">
        <v>13070.77</v>
      </c>
      <c r="Y32" s="134">
        <v>4638.29</v>
      </c>
      <c r="Z32" s="135">
        <v>0</v>
      </c>
      <c r="AA32" s="135">
        <v>9220.85</v>
      </c>
      <c r="AB32" s="118">
        <f aca="true" t="shared" si="39" ref="AB32:AB39">SUM(U32:AA32)</f>
        <v>59452.91</v>
      </c>
      <c r="AC32" s="120">
        <f t="shared" si="25"/>
        <v>76095.815</v>
      </c>
      <c r="AD32" s="121">
        <f t="shared" si="26"/>
        <v>0</v>
      </c>
      <c r="AE32" s="121">
        <f t="shared" si="27"/>
        <v>10438.77</v>
      </c>
      <c r="AF32" s="121"/>
      <c r="AG32" s="122">
        <f t="shared" si="28"/>
        <v>4467.06</v>
      </c>
      <c r="AH32" s="122">
        <f t="shared" si="29"/>
        <v>1489.0200000000002</v>
      </c>
      <c r="AI32" s="122">
        <f t="shared" si="30"/>
        <v>7445.1</v>
      </c>
      <c r="AJ32" s="122">
        <v>0</v>
      </c>
      <c r="AK32" s="122">
        <f t="shared" si="31"/>
        <v>7296.198</v>
      </c>
      <c r="AL32" s="122">
        <v>0</v>
      </c>
      <c r="AM32" s="122">
        <f t="shared" si="32"/>
        <v>16751.475000000002</v>
      </c>
      <c r="AN32" s="122">
        <v>0</v>
      </c>
      <c r="AO32" s="122"/>
      <c r="AP32" s="122"/>
      <c r="AQ32" s="123"/>
      <c r="AR32" s="123"/>
      <c r="AS32" s="124">
        <v>4949</v>
      </c>
      <c r="AT32" s="124"/>
      <c r="AU32" s="124">
        <f>385*0</f>
        <v>0</v>
      </c>
      <c r="AV32" s="125"/>
      <c r="AW32" s="126">
        <f>2474+1914</f>
        <v>4388</v>
      </c>
      <c r="AX32" s="122">
        <f t="shared" si="33"/>
        <v>6143.2</v>
      </c>
      <c r="AY32" s="101">
        <v>12427.36</v>
      </c>
      <c r="AZ32" s="127"/>
      <c r="BA32" s="127">
        <f t="shared" si="34"/>
        <v>0</v>
      </c>
      <c r="BB32" s="127">
        <f t="shared" si="35"/>
        <v>60968.413</v>
      </c>
      <c r="BC32" s="128"/>
      <c r="BD32" s="14">
        <f t="shared" si="36"/>
        <v>15127.402000000002</v>
      </c>
      <c r="BE32" s="29">
        <f t="shared" si="37"/>
        <v>679.8700000000099</v>
      </c>
    </row>
    <row r="33" spans="1:57" ht="12.75">
      <c r="A33" s="11" t="s">
        <v>50</v>
      </c>
      <c r="B33" s="129">
        <v>7445.1</v>
      </c>
      <c r="C33" s="107">
        <f t="shared" si="22"/>
        <v>64400.115000000005</v>
      </c>
      <c r="D33" s="90">
        <f t="shared" si="23"/>
        <v>5996.515000000011</v>
      </c>
      <c r="E33" s="117">
        <v>5650.93</v>
      </c>
      <c r="F33" s="117">
        <v>1089.92</v>
      </c>
      <c r="G33" s="117">
        <v>7654.56</v>
      </c>
      <c r="H33" s="117">
        <v>1477.38</v>
      </c>
      <c r="I33" s="117">
        <v>18391.29</v>
      </c>
      <c r="J33" s="117">
        <v>3548.17</v>
      </c>
      <c r="K33" s="117">
        <v>12740.35</v>
      </c>
      <c r="L33" s="117">
        <v>2458.35</v>
      </c>
      <c r="M33" s="117">
        <v>4520.76</v>
      </c>
      <c r="N33" s="118">
        <v>871.89</v>
      </c>
      <c r="O33" s="118">
        <v>0</v>
      </c>
      <c r="P33" s="118">
        <v>0</v>
      </c>
      <c r="Q33" s="118">
        <v>9602.13</v>
      </c>
      <c r="R33" s="118">
        <v>1217.92</v>
      </c>
      <c r="S33" s="117">
        <f t="shared" si="38"/>
        <v>58560.020000000004</v>
      </c>
      <c r="T33" s="119">
        <f t="shared" si="24"/>
        <v>10663.630000000001</v>
      </c>
      <c r="U33" s="117">
        <v>4574</v>
      </c>
      <c r="V33" s="117">
        <v>6195.89</v>
      </c>
      <c r="W33" s="117">
        <v>14886.46</v>
      </c>
      <c r="X33" s="117">
        <v>10312.51</v>
      </c>
      <c r="Y33" s="117">
        <v>3659.23</v>
      </c>
      <c r="Z33" s="118">
        <v>0</v>
      </c>
      <c r="AA33" s="118">
        <v>7738.6</v>
      </c>
      <c r="AB33" s="118">
        <f t="shared" si="39"/>
        <v>47366.69</v>
      </c>
      <c r="AC33" s="120">
        <f t="shared" si="25"/>
        <v>64026.835000000014</v>
      </c>
      <c r="AD33" s="121">
        <f t="shared" si="26"/>
        <v>0</v>
      </c>
      <c r="AE33" s="121">
        <f t="shared" si="27"/>
        <v>8956.52</v>
      </c>
      <c r="AF33" s="121"/>
      <c r="AG33" s="122">
        <f t="shared" si="28"/>
        <v>4467.06</v>
      </c>
      <c r="AH33" s="122">
        <f t="shared" si="29"/>
        <v>1489.0200000000002</v>
      </c>
      <c r="AI33" s="122">
        <f t="shared" si="30"/>
        <v>7445.1</v>
      </c>
      <c r="AJ33" s="122">
        <v>0</v>
      </c>
      <c r="AK33" s="122">
        <f t="shared" si="31"/>
        <v>7296.198</v>
      </c>
      <c r="AL33" s="122">
        <v>0</v>
      </c>
      <c r="AM33" s="122">
        <f t="shared" si="32"/>
        <v>16751.475000000002</v>
      </c>
      <c r="AN33" s="122">
        <v>0</v>
      </c>
      <c r="AO33" s="122"/>
      <c r="AP33" s="122"/>
      <c r="AQ33" s="123">
        <f>300+100</f>
        <v>400</v>
      </c>
      <c r="AR33" s="123"/>
      <c r="AS33" s="124">
        <v>11015</v>
      </c>
      <c r="AT33" s="124">
        <v>766.27</v>
      </c>
      <c r="AU33" s="124">
        <f>AT33*0</f>
        <v>0</v>
      </c>
      <c r="AV33" s="125"/>
      <c r="AW33" s="126">
        <f>2032+1819</f>
        <v>3851</v>
      </c>
      <c r="AX33" s="122">
        <f t="shared" si="33"/>
        <v>5391.4</v>
      </c>
      <c r="AY33" s="101">
        <v>12428.38</v>
      </c>
      <c r="AZ33" s="127"/>
      <c r="BA33" s="127">
        <f t="shared" si="34"/>
        <v>0</v>
      </c>
      <c r="BB33" s="127">
        <f t="shared" si="35"/>
        <v>67449.903</v>
      </c>
      <c r="BC33" s="128"/>
      <c r="BD33" s="14">
        <f t="shared" si="36"/>
        <v>-3423.067999999992</v>
      </c>
      <c r="BE33" s="29">
        <f t="shared" si="37"/>
        <v>-11193.330000000002</v>
      </c>
    </row>
    <row r="34" spans="1:57" ht="12.75">
      <c r="A34" s="11" t="s">
        <v>51</v>
      </c>
      <c r="B34" s="129">
        <v>7445.1</v>
      </c>
      <c r="C34" s="107">
        <f t="shared" si="22"/>
        <v>64400.115000000005</v>
      </c>
      <c r="D34" s="90">
        <f t="shared" si="23"/>
        <v>5953.1650000000045</v>
      </c>
      <c r="E34" s="137">
        <v>6745.93</v>
      </c>
      <c r="F34" s="117">
        <v>0</v>
      </c>
      <c r="G34" s="117">
        <v>9138.58</v>
      </c>
      <c r="H34" s="117">
        <v>0</v>
      </c>
      <c r="I34" s="117">
        <v>21955.78</v>
      </c>
      <c r="J34" s="117">
        <v>0</v>
      </c>
      <c r="K34" s="117">
        <v>15209.93</v>
      </c>
      <c r="L34" s="117">
        <v>0</v>
      </c>
      <c r="M34" s="117">
        <v>5396.73</v>
      </c>
      <c r="N34" s="118">
        <v>0</v>
      </c>
      <c r="O34" s="118">
        <v>0</v>
      </c>
      <c r="P34" s="118">
        <v>0</v>
      </c>
      <c r="Q34" s="118">
        <v>11151.58</v>
      </c>
      <c r="R34" s="118">
        <v>0</v>
      </c>
      <c r="S34" s="117">
        <f t="shared" si="38"/>
        <v>69598.53</v>
      </c>
      <c r="T34" s="119">
        <f t="shared" si="24"/>
        <v>0</v>
      </c>
      <c r="U34" s="137">
        <v>6584.19</v>
      </c>
      <c r="V34" s="117">
        <v>8914.27</v>
      </c>
      <c r="W34" s="117">
        <v>21420.29</v>
      </c>
      <c r="X34" s="117">
        <v>14839.78</v>
      </c>
      <c r="Y34" s="117">
        <v>5267.44</v>
      </c>
      <c r="Z34" s="118">
        <v>0</v>
      </c>
      <c r="AA34" s="118">
        <v>9362.27</v>
      </c>
      <c r="AB34" s="118">
        <f t="shared" si="39"/>
        <v>66388.24</v>
      </c>
      <c r="AC34" s="120">
        <f t="shared" si="25"/>
        <v>72341.40500000001</v>
      </c>
      <c r="AD34" s="121">
        <f t="shared" si="26"/>
        <v>0</v>
      </c>
      <c r="AE34" s="121">
        <f t="shared" si="27"/>
        <v>9362.27</v>
      </c>
      <c r="AF34" s="121"/>
      <c r="AG34" s="122">
        <f t="shared" si="28"/>
        <v>4467.06</v>
      </c>
      <c r="AH34" s="122">
        <f t="shared" si="29"/>
        <v>1489.0200000000002</v>
      </c>
      <c r="AI34" s="122">
        <f t="shared" si="30"/>
        <v>7445.1</v>
      </c>
      <c r="AJ34" s="122">
        <v>0</v>
      </c>
      <c r="AK34" s="122">
        <f t="shared" si="31"/>
        <v>7296.198</v>
      </c>
      <c r="AL34" s="122">
        <v>0</v>
      </c>
      <c r="AM34" s="122">
        <f t="shared" si="32"/>
        <v>16751.475000000002</v>
      </c>
      <c r="AN34" s="122">
        <v>0</v>
      </c>
      <c r="AO34" s="122"/>
      <c r="AP34" s="122"/>
      <c r="AQ34" s="123"/>
      <c r="AR34" s="123"/>
      <c r="AS34" s="124"/>
      <c r="AT34" s="124"/>
      <c r="AU34" s="124">
        <f>AT34*0.18</f>
        <v>0</v>
      </c>
      <c r="AV34" s="125"/>
      <c r="AW34" s="126">
        <f>2297+2146</f>
        <v>4443</v>
      </c>
      <c r="AX34" s="122">
        <f t="shared" si="33"/>
        <v>6220.2</v>
      </c>
      <c r="AY34" s="101">
        <v>13063.13</v>
      </c>
      <c r="AZ34" s="127"/>
      <c r="BA34" s="127">
        <f t="shared" si="34"/>
        <v>0</v>
      </c>
      <c r="BB34" s="127">
        <f t="shared" si="35"/>
        <v>56732.183</v>
      </c>
      <c r="BC34" s="128"/>
      <c r="BD34" s="14">
        <f>AC34+AF34-BB34-BC34</f>
        <v>15609.222000000016</v>
      </c>
      <c r="BE34" s="29">
        <f t="shared" si="37"/>
        <v>-3210.2899999999936</v>
      </c>
    </row>
    <row r="35" spans="1:57" ht="12.75">
      <c r="A35" s="11" t="s">
        <v>52</v>
      </c>
      <c r="B35" s="129">
        <v>7445.1</v>
      </c>
      <c r="C35" s="107">
        <f t="shared" si="22"/>
        <v>64400.115000000005</v>
      </c>
      <c r="D35" s="138">
        <f>C35-E35-F35-G35-H35-I35-J35-K35-L35-M35-N35+99500+50000</f>
        <v>156460.575</v>
      </c>
      <c r="E35" s="137">
        <v>5745.1</v>
      </c>
      <c r="F35" s="117">
        <v>0</v>
      </c>
      <c r="G35" s="117">
        <v>9137.37</v>
      </c>
      <c r="H35" s="117">
        <v>0</v>
      </c>
      <c r="I35" s="117">
        <v>21953.03</v>
      </c>
      <c r="J35" s="117">
        <v>0</v>
      </c>
      <c r="K35" s="117">
        <v>15207.98</v>
      </c>
      <c r="L35" s="117">
        <v>0</v>
      </c>
      <c r="M35" s="117">
        <v>5396.06</v>
      </c>
      <c r="N35" s="118">
        <v>0</v>
      </c>
      <c r="O35" s="118">
        <v>0</v>
      </c>
      <c r="P35" s="118">
        <v>0</v>
      </c>
      <c r="Q35" s="118">
        <v>11570.04</v>
      </c>
      <c r="R35" s="118">
        <v>0</v>
      </c>
      <c r="S35" s="117">
        <f t="shared" si="38"/>
        <v>69009.57999999999</v>
      </c>
      <c r="T35" s="119">
        <f t="shared" si="24"/>
        <v>0</v>
      </c>
      <c r="U35" s="134">
        <v>6137.29</v>
      </c>
      <c r="V35" s="134">
        <v>8313.34</v>
      </c>
      <c r="W35" s="134">
        <v>19974.04</v>
      </c>
      <c r="X35" s="134">
        <v>13837</v>
      </c>
      <c r="Y35" s="134">
        <v>4909.85</v>
      </c>
      <c r="Z35" s="135">
        <v>0</v>
      </c>
      <c r="AA35" s="135">
        <v>9755.98</v>
      </c>
      <c r="AB35" s="118">
        <f t="shared" si="39"/>
        <v>62927.5</v>
      </c>
      <c r="AC35" s="120">
        <f t="shared" si="25"/>
        <v>219388.075</v>
      </c>
      <c r="AD35" s="121">
        <f t="shared" si="26"/>
        <v>0</v>
      </c>
      <c r="AE35" s="121">
        <f t="shared" si="27"/>
        <v>9755.98</v>
      </c>
      <c r="AF35" s="121"/>
      <c r="AG35" s="122">
        <f t="shared" si="28"/>
        <v>4467.06</v>
      </c>
      <c r="AH35" s="122">
        <f t="shared" si="29"/>
        <v>1489.0200000000002</v>
      </c>
      <c r="AI35" s="122">
        <f t="shared" si="30"/>
        <v>7445.1</v>
      </c>
      <c r="AJ35" s="122">
        <v>0</v>
      </c>
      <c r="AK35" s="122">
        <f t="shared" si="31"/>
        <v>7296.198</v>
      </c>
      <c r="AL35" s="122">
        <v>0</v>
      </c>
      <c r="AM35" s="122">
        <f t="shared" si="32"/>
        <v>16751.475000000002</v>
      </c>
      <c r="AN35" s="122">
        <v>0</v>
      </c>
      <c r="AO35" s="122"/>
      <c r="AP35" s="122"/>
      <c r="AQ35" s="123">
        <v>49750</v>
      </c>
      <c r="AR35" s="123"/>
      <c r="AS35" s="124">
        <v>17640</v>
      </c>
      <c r="AT35" s="124">
        <f>47.8+358+358+4468</f>
        <v>5231.8</v>
      </c>
      <c r="AU35" s="124">
        <f>4468*0.18</f>
        <v>804.24</v>
      </c>
      <c r="AV35" s="125"/>
      <c r="AW35" s="126">
        <f>2064+1711</f>
        <v>3775</v>
      </c>
      <c r="AX35" s="122">
        <f t="shared" si="33"/>
        <v>5285</v>
      </c>
      <c r="AY35" s="101">
        <v>13063.13</v>
      </c>
      <c r="AZ35" s="127"/>
      <c r="BA35" s="127">
        <f t="shared" si="34"/>
        <v>0</v>
      </c>
      <c r="BB35" s="127">
        <f t="shared" si="35"/>
        <v>129223.02300000002</v>
      </c>
      <c r="BC35" s="128"/>
      <c r="BD35" s="14">
        <f t="shared" si="36"/>
        <v>90165.052</v>
      </c>
      <c r="BE35" s="29">
        <f t="shared" si="37"/>
        <v>-6082.079999999987</v>
      </c>
    </row>
    <row r="36" spans="1:57" ht="12.75">
      <c r="A36" s="11" t="s">
        <v>53</v>
      </c>
      <c r="B36" s="129">
        <v>7445.1</v>
      </c>
      <c r="C36" s="107">
        <f t="shared" si="22"/>
        <v>64400.115000000005</v>
      </c>
      <c r="D36" s="90">
        <f>C36-E36-F36-G36-H36-I36-J36-K36-L36-M36-N36</f>
        <v>5939.595000000007</v>
      </c>
      <c r="E36" s="117">
        <v>6747.54</v>
      </c>
      <c r="F36" s="117">
        <v>0</v>
      </c>
      <c r="G36" s="117">
        <v>9140.66</v>
      </c>
      <c r="H36" s="117">
        <v>0</v>
      </c>
      <c r="I36" s="117">
        <v>21960.88</v>
      </c>
      <c r="J36" s="117">
        <v>0</v>
      </c>
      <c r="K36" s="117">
        <v>15213.43</v>
      </c>
      <c r="L36" s="117">
        <v>0</v>
      </c>
      <c r="M36" s="117">
        <v>5398.01</v>
      </c>
      <c r="N36" s="118">
        <v>0</v>
      </c>
      <c r="O36" s="118">
        <v>0</v>
      </c>
      <c r="P36" s="118">
        <v>0</v>
      </c>
      <c r="Q36" s="118">
        <v>10918.31</v>
      </c>
      <c r="R36" s="118">
        <v>0</v>
      </c>
      <c r="S36" s="117">
        <f t="shared" si="38"/>
        <v>69378.83</v>
      </c>
      <c r="T36" s="119">
        <f t="shared" si="24"/>
        <v>0</v>
      </c>
      <c r="U36" s="117">
        <v>5583.56</v>
      </c>
      <c r="V36" s="117">
        <v>7564.53</v>
      </c>
      <c r="W36" s="117">
        <v>18173.07</v>
      </c>
      <c r="X36" s="117">
        <v>12589.56</v>
      </c>
      <c r="Y36" s="117">
        <v>4466.55</v>
      </c>
      <c r="Z36" s="118">
        <v>0</v>
      </c>
      <c r="AA36" s="118">
        <v>9158.45</v>
      </c>
      <c r="AB36" s="118">
        <f t="shared" si="39"/>
        <v>57535.72</v>
      </c>
      <c r="AC36" s="120">
        <f t="shared" si="25"/>
        <v>63475.31500000001</v>
      </c>
      <c r="AD36" s="121">
        <f t="shared" si="26"/>
        <v>0</v>
      </c>
      <c r="AE36" s="121">
        <f t="shared" si="27"/>
        <v>9158.45</v>
      </c>
      <c r="AF36" s="121"/>
      <c r="AG36" s="122">
        <f t="shared" si="28"/>
        <v>4467.06</v>
      </c>
      <c r="AH36" s="122">
        <f t="shared" si="29"/>
        <v>1489.0200000000002</v>
      </c>
      <c r="AI36" s="122">
        <f t="shared" si="30"/>
        <v>7445.1</v>
      </c>
      <c r="AJ36" s="122">
        <v>0</v>
      </c>
      <c r="AK36" s="122">
        <f t="shared" si="31"/>
        <v>7296.198</v>
      </c>
      <c r="AL36" s="122">
        <v>0</v>
      </c>
      <c r="AM36" s="122">
        <f t="shared" si="32"/>
        <v>16751.475000000002</v>
      </c>
      <c r="AN36" s="122">
        <v>0</v>
      </c>
      <c r="AO36" s="122"/>
      <c r="AP36" s="122"/>
      <c r="AQ36" s="123"/>
      <c r="AR36" s="123"/>
      <c r="AS36" s="124">
        <v>4987</v>
      </c>
      <c r="AT36" s="124"/>
      <c r="AU36" s="136">
        <f>0*0.18</f>
        <v>0</v>
      </c>
      <c r="AV36" s="125"/>
      <c r="AW36" s="126">
        <f>2450+2381</f>
        <v>4831</v>
      </c>
      <c r="AX36" s="122">
        <f t="shared" si="33"/>
        <v>6763.4</v>
      </c>
      <c r="AY36" s="101">
        <v>13063.13</v>
      </c>
      <c r="AZ36" s="127"/>
      <c r="BA36" s="127">
        <f t="shared" si="34"/>
        <v>0</v>
      </c>
      <c r="BB36" s="127">
        <f t="shared" si="35"/>
        <v>62262.383</v>
      </c>
      <c r="BC36" s="128"/>
      <c r="BD36" s="14">
        <f t="shared" si="36"/>
        <v>1212.932000000008</v>
      </c>
      <c r="BE36" s="29">
        <f t="shared" si="37"/>
        <v>-11843.11</v>
      </c>
    </row>
    <row r="37" spans="1:57" ht="12.75">
      <c r="A37" s="11" t="s">
        <v>41</v>
      </c>
      <c r="B37" s="129">
        <v>7445.1</v>
      </c>
      <c r="C37" s="107">
        <f t="shared" si="22"/>
        <v>64400.115000000005</v>
      </c>
      <c r="D37" s="90">
        <f>C37-E37-F37-G37-H37-I37-J37-K37-L37-M37-N37</f>
        <v>5844.075000000004</v>
      </c>
      <c r="E37" s="78">
        <v>6747.02</v>
      </c>
      <c r="F37" s="78">
        <v>0</v>
      </c>
      <c r="G37" s="78">
        <v>9139.98</v>
      </c>
      <c r="H37" s="78">
        <v>0</v>
      </c>
      <c r="I37" s="78">
        <v>21959.18</v>
      </c>
      <c r="J37" s="78">
        <v>0</v>
      </c>
      <c r="K37" s="78">
        <v>15212.27</v>
      </c>
      <c r="L37" s="78">
        <v>0</v>
      </c>
      <c r="M37" s="78">
        <v>5497.59</v>
      </c>
      <c r="N37" s="103">
        <v>0</v>
      </c>
      <c r="O37" s="103">
        <v>0</v>
      </c>
      <c r="P37" s="103">
        <v>0</v>
      </c>
      <c r="Q37" s="103">
        <v>10964.96</v>
      </c>
      <c r="R37" s="103">
        <v>0</v>
      </c>
      <c r="S37" s="117">
        <f t="shared" si="38"/>
        <v>69521</v>
      </c>
      <c r="T37" s="119">
        <f t="shared" si="24"/>
        <v>0</v>
      </c>
      <c r="U37" s="117">
        <v>6542.29</v>
      </c>
      <c r="V37" s="117">
        <v>8863.84</v>
      </c>
      <c r="W37" s="117">
        <v>21294.21</v>
      </c>
      <c r="X37" s="117">
        <v>14751.99</v>
      </c>
      <c r="Y37" s="117">
        <v>5233.99</v>
      </c>
      <c r="Z37" s="118">
        <v>0</v>
      </c>
      <c r="AA37" s="118">
        <v>11040.4</v>
      </c>
      <c r="AB37" s="118">
        <f t="shared" si="39"/>
        <v>67726.71999999999</v>
      </c>
      <c r="AC37" s="120">
        <f t="shared" si="25"/>
        <v>73570.79499999998</v>
      </c>
      <c r="AD37" s="121">
        <f t="shared" si="26"/>
        <v>0</v>
      </c>
      <c r="AE37" s="121">
        <f t="shared" si="27"/>
        <v>11040.4</v>
      </c>
      <c r="AF37" s="121">
        <f>150</f>
        <v>150</v>
      </c>
      <c r="AG37" s="122">
        <f t="shared" si="28"/>
        <v>4467.06</v>
      </c>
      <c r="AH37" s="122">
        <f t="shared" si="29"/>
        <v>1489.0200000000002</v>
      </c>
      <c r="AI37" s="122">
        <f t="shared" si="30"/>
        <v>7445.1</v>
      </c>
      <c r="AJ37" s="122">
        <v>0</v>
      </c>
      <c r="AK37" s="122">
        <f t="shared" si="31"/>
        <v>7296.198</v>
      </c>
      <c r="AL37" s="122">
        <v>0</v>
      </c>
      <c r="AM37" s="122">
        <f t="shared" si="32"/>
        <v>16751.475000000002</v>
      </c>
      <c r="AN37" s="122">
        <v>0</v>
      </c>
      <c r="AO37" s="122"/>
      <c r="AP37" s="122"/>
      <c r="AQ37" s="123">
        <v>49750</v>
      </c>
      <c r="AR37" s="123"/>
      <c r="AS37" s="124">
        <v>1001</v>
      </c>
      <c r="AT37" s="124">
        <f>2500+240+168</f>
        <v>2908</v>
      </c>
      <c r="AU37" s="124">
        <f>0*0.18</f>
        <v>0</v>
      </c>
      <c r="AV37" s="125"/>
      <c r="AW37" s="126">
        <f>2206+1893</f>
        <v>4099</v>
      </c>
      <c r="AX37" s="122">
        <f t="shared" si="33"/>
        <v>5738.599999999999</v>
      </c>
      <c r="AY37" s="101">
        <v>12428.75</v>
      </c>
      <c r="AZ37" s="127"/>
      <c r="BA37" s="127">
        <f>0</f>
        <v>0</v>
      </c>
      <c r="BB37" s="127">
        <f t="shared" si="35"/>
        <v>109275.20300000001</v>
      </c>
      <c r="BC37" s="128">
        <v>37.5</v>
      </c>
      <c r="BD37" s="14">
        <f t="shared" si="36"/>
        <v>-35591.908000000025</v>
      </c>
      <c r="BE37" s="29">
        <f t="shared" si="37"/>
        <v>-1794.2800000000134</v>
      </c>
    </row>
    <row r="38" spans="1:57" ht="12.75">
      <c r="A38" s="11" t="s">
        <v>42</v>
      </c>
      <c r="B38" s="129">
        <v>7445.1</v>
      </c>
      <c r="C38" s="107">
        <f t="shared" si="22"/>
        <v>64400.115000000005</v>
      </c>
      <c r="D38" s="90">
        <f>C38-E38-F38-G38-H38-I38-J38-K38-L38-M38-N38</f>
        <v>5951.065000000001</v>
      </c>
      <c r="E38" s="117">
        <v>6746.19</v>
      </c>
      <c r="F38" s="117">
        <v>0</v>
      </c>
      <c r="G38" s="117">
        <v>9138.9</v>
      </c>
      <c r="H38" s="117">
        <v>0</v>
      </c>
      <c r="I38" s="117">
        <v>21956.56</v>
      </c>
      <c r="J38" s="117">
        <v>0</v>
      </c>
      <c r="K38" s="117">
        <v>15210.46</v>
      </c>
      <c r="L38" s="117">
        <v>0</v>
      </c>
      <c r="M38" s="117">
        <v>5396.94</v>
      </c>
      <c r="N38" s="118">
        <v>0</v>
      </c>
      <c r="O38" s="118">
        <v>0</v>
      </c>
      <c r="P38" s="118">
        <v>0</v>
      </c>
      <c r="Q38" s="118">
        <v>10753.46</v>
      </c>
      <c r="R38" s="118">
        <v>0</v>
      </c>
      <c r="S38" s="117">
        <f t="shared" si="38"/>
        <v>69202.51000000001</v>
      </c>
      <c r="T38" s="119">
        <f t="shared" si="24"/>
        <v>0</v>
      </c>
      <c r="U38" s="137">
        <v>6454.43</v>
      </c>
      <c r="V38" s="117">
        <v>8744.02</v>
      </c>
      <c r="W38" s="117">
        <v>21007.49</v>
      </c>
      <c r="X38" s="117">
        <v>14553.08</v>
      </c>
      <c r="Y38" s="117">
        <v>5163.53</v>
      </c>
      <c r="Z38" s="118">
        <v>0</v>
      </c>
      <c r="AA38" s="118">
        <v>11051.95</v>
      </c>
      <c r="AB38" s="118">
        <f t="shared" si="39"/>
        <v>66974.5</v>
      </c>
      <c r="AC38" s="120">
        <f t="shared" si="25"/>
        <v>72925.565</v>
      </c>
      <c r="AD38" s="121">
        <f t="shared" si="26"/>
        <v>0</v>
      </c>
      <c r="AE38" s="121">
        <f t="shared" si="27"/>
        <v>11051.95</v>
      </c>
      <c r="AF38" s="121">
        <v>150</v>
      </c>
      <c r="AG38" s="122">
        <f t="shared" si="28"/>
        <v>4467.06</v>
      </c>
      <c r="AH38" s="122">
        <f t="shared" si="29"/>
        <v>1489.0200000000002</v>
      </c>
      <c r="AI38" s="122">
        <f t="shared" si="30"/>
        <v>7445.1</v>
      </c>
      <c r="AJ38" s="122">
        <v>0</v>
      </c>
      <c r="AK38" s="122">
        <f t="shared" si="31"/>
        <v>7296.198</v>
      </c>
      <c r="AL38" s="122">
        <v>0</v>
      </c>
      <c r="AM38" s="122">
        <f t="shared" si="32"/>
        <v>16751.475000000002</v>
      </c>
      <c r="AN38" s="122">
        <v>0</v>
      </c>
      <c r="AO38" s="122"/>
      <c r="AP38" s="122"/>
      <c r="AQ38" s="123"/>
      <c r="AR38" s="123"/>
      <c r="AS38" s="124">
        <v>10828</v>
      </c>
      <c r="AT38" s="124"/>
      <c r="AU38" s="124">
        <f>0*0.18</f>
        <v>0</v>
      </c>
      <c r="AV38" s="125"/>
      <c r="AW38" s="126">
        <f>2000+2250</f>
        <v>4250</v>
      </c>
      <c r="AX38" s="122">
        <f t="shared" si="33"/>
        <v>5950</v>
      </c>
      <c r="AY38" s="101">
        <v>12428.96</v>
      </c>
      <c r="AZ38" s="127"/>
      <c r="BA38" s="127">
        <v>0</v>
      </c>
      <c r="BB38" s="127">
        <f t="shared" si="35"/>
        <v>66655.813</v>
      </c>
      <c r="BC38" s="128">
        <f>37.5</f>
        <v>37.5</v>
      </c>
      <c r="BD38" s="14">
        <f t="shared" si="36"/>
        <v>6382.252000000008</v>
      </c>
      <c r="BE38" s="29">
        <f t="shared" si="37"/>
        <v>-2228.0100000000093</v>
      </c>
    </row>
    <row r="39" spans="1:57" ht="12.75">
      <c r="A39" s="11" t="s">
        <v>43</v>
      </c>
      <c r="B39" s="129">
        <v>7445.1</v>
      </c>
      <c r="C39" s="107">
        <f t="shared" si="22"/>
        <v>64400.115000000005</v>
      </c>
      <c r="D39" s="90">
        <f>C39-E39-F39-G39-H39-I39-J39-K39-L39-M39-N39</f>
        <v>5832.675000000007</v>
      </c>
      <c r="E39" s="117">
        <v>6748.34</v>
      </c>
      <c r="F39" s="117">
        <v>0</v>
      </c>
      <c r="G39" s="117">
        <v>9141.72</v>
      </c>
      <c r="H39" s="117">
        <v>0</v>
      </c>
      <c r="I39" s="117">
        <v>21963.49</v>
      </c>
      <c r="J39" s="117">
        <v>0</v>
      </c>
      <c r="K39" s="117">
        <v>15215.23</v>
      </c>
      <c r="L39" s="117">
        <v>0</v>
      </c>
      <c r="M39" s="117">
        <v>5498.66</v>
      </c>
      <c r="N39" s="118">
        <v>0</v>
      </c>
      <c r="O39" s="118">
        <v>0</v>
      </c>
      <c r="P39" s="118">
        <v>0</v>
      </c>
      <c r="Q39" s="118">
        <v>10567.23</v>
      </c>
      <c r="R39" s="118">
        <v>0</v>
      </c>
      <c r="S39" s="117">
        <f t="shared" si="38"/>
        <v>69134.67</v>
      </c>
      <c r="T39" s="119">
        <f t="shared" si="24"/>
        <v>0</v>
      </c>
      <c r="U39" s="117">
        <v>8660.01</v>
      </c>
      <c r="V39" s="117">
        <v>11731.26</v>
      </c>
      <c r="W39" s="117">
        <v>30412.21</v>
      </c>
      <c r="X39" s="117">
        <v>19874.22</v>
      </c>
      <c r="Y39" s="117">
        <v>6928.03</v>
      </c>
      <c r="Z39" s="118">
        <v>0</v>
      </c>
      <c r="AA39" s="118">
        <v>14135.99</v>
      </c>
      <c r="AB39" s="118">
        <f t="shared" si="39"/>
        <v>91741.72</v>
      </c>
      <c r="AC39" s="120">
        <f t="shared" si="25"/>
        <v>97574.395</v>
      </c>
      <c r="AD39" s="121">
        <f t="shared" si="26"/>
        <v>0</v>
      </c>
      <c r="AE39" s="121">
        <f t="shared" si="27"/>
        <v>14135.99</v>
      </c>
      <c r="AF39" s="121">
        <v>150</v>
      </c>
      <c r="AG39" s="122">
        <f t="shared" si="28"/>
        <v>4467.06</v>
      </c>
      <c r="AH39" s="122">
        <f t="shared" si="29"/>
        <v>1489.0200000000002</v>
      </c>
      <c r="AI39" s="122">
        <f t="shared" si="30"/>
        <v>7445.1</v>
      </c>
      <c r="AJ39" s="122">
        <v>0</v>
      </c>
      <c r="AK39" s="122">
        <f t="shared" si="31"/>
        <v>7296.198</v>
      </c>
      <c r="AL39" s="122">
        <v>0</v>
      </c>
      <c r="AM39" s="122">
        <f t="shared" si="32"/>
        <v>16751.475000000002</v>
      </c>
      <c r="AN39" s="122">
        <v>0</v>
      </c>
      <c r="AO39" s="122"/>
      <c r="AP39" s="122"/>
      <c r="AQ39" s="123"/>
      <c r="AR39" s="123"/>
      <c r="AS39" s="124"/>
      <c r="AT39" s="124">
        <f>99500+17000+10350+118.83+172.39+114.92+67879.57+13493.44</f>
        <v>208629.15000000002</v>
      </c>
      <c r="AU39" s="124">
        <f>(118.83+172.39+114.92+67879.57+13493.44)*0.18</f>
        <v>14720.247000000001</v>
      </c>
      <c r="AV39" s="125"/>
      <c r="AW39" s="126">
        <f>3759+2434</f>
        <v>6193</v>
      </c>
      <c r="AX39" s="122">
        <f>AW39*1.4-1049.45</f>
        <v>7620.749999999999</v>
      </c>
      <c r="AY39" s="101">
        <v>12413.58223829253</v>
      </c>
      <c r="AZ39" s="234"/>
      <c r="BA39" s="127">
        <v>0</v>
      </c>
      <c r="BB39" s="127">
        <f t="shared" si="35"/>
        <v>280832.58223829255</v>
      </c>
      <c r="BC39" s="128">
        <f>37.5</f>
        <v>37.5</v>
      </c>
      <c r="BD39" s="14">
        <f t="shared" si="36"/>
        <v>-183145.68723829254</v>
      </c>
      <c r="BE39" s="29">
        <f t="shared" si="37"/>
        <v>22607.050000000003</v>
      </c>
    </row>
    <row r="40" spans="1:57" s="20" customFormat="1" ht="12.75">
      <c r="A40" s="17" t="s">
        <v>5</v>
      </c>
      <c r="B40" s="56"/>
      <c r="C40" s="18">
        <f aca="true" t="shared" si="40" ref="C40:BC40">SUM(C28:C39)</f>
        <v>772178.58</v>
      </c>
      <c r="D40" s="18">
        <f t="shared" si="40"/>
        <v>221843.70000000007</v>
      </c>
      <c r="E40" s="18">
        <f t="shared" si="40"/>
        <v>73409.33</v>
      </c>
      <c r="F40" s="18">
        <f t="shared" si="40"/>
        <v>6457.32</v>
      </c>
      <c r="G40" s="18">
        <f t="shared" si="40"/>
        <v>100796.71999999999</v>
      </c>
      <c r="H40" s="18">
        <f t="shared" si="40"/>
        <v>8752.82</v>
      </c>
      <c r="I40" s="18">
        <f t="shared" si="40"/>
        <v>242174.25999999998</v>
      </c>
      <c r="J40" s="18">
        <f t="shared" si="40"/>
        <v>21021.479999999996</v>
      </c>
      <c r="K40" s="18">
        <f t="shared" si="40"/>
        <v>167765.05</v>
      </c>
      <c r="L40" s="18">
        <f t="shared" si="40"/>
        <v>14564.710000000001</v>
      </c>
      <c r="M40" s="18">
        <f t="shared" si="40"/>
        <v>59727.630000000005</v>
      </c>
      <c r="N40" s="18">
        <f t="shared" si="40"/>
        <v>5165.56</v>
      </c>
      <c r="O40" s="18">
        <f t="shared" si="40"/>
        <v>0</v>
      </c>
      <c r="P40" s="18">
        <f t="shared" si="40"/>
        <v>0</v>
      </c>
      <c r="Q40" s="18">
        <f t="shared" si="40"/>
        <v>123176.35999999997</v>
      </c>
      <c r="R40" s="18">
        <f t="shared" si="40"/>
        <v>7048.6900000000005</v>
      </c>
      <c r="S40" s="18">
        <f t="shared" si="40"/>
        <v>767049.35</v>
      </c>
      <c r="T40" s="18">
        <f t="shared" si="40"/>
        <v>63010.58</v>
      </c>
      <c r="U40" s="18">
        <f t="shared" si="40"/>
        <v>72399.76</v>
      </c>
      <c r="V40" s="18">
        <f t="shared" si="40"/>
        <v>98044.93</v>
      </c>
      <c r="W40" s="18">
        <f t="shared" si="40"/>
        <v>237820.49</v>
      </c>
      <c r="X40" s="18">
        <f t="shared" si="40"/>
        <v>163553.18</v>
      </c>
      <c r="Y40" s="18">
        <f t="shared" si="40"/>
        <v>57920.049999999996</v>
      </c>
      <c r="Z40" s="18">
        <f t="shared" si="40"/>
        <v>0</v>
      </c>
      <c r="AA40" s="18">
        <f t="shared" si="40"/>
        <v>118380.81999999999</v>
      </c>
      <c r="AB40" s="18">
        <f t="shared" si="40"/>
        <v>748119.23</v>
      </c>
      <c r="AC40" s="18">
        <f t="shared" si="40"/>
        <v>1032973.5100000002</v>
      </c>
      <c r="AD40" s="18">
        <f t="shared" si="40"/>
        <v>0</v>
      </c>
      <c r="AE40" s="18">
        <f t="shared" si="40"/>
        <v>125429.51</v>
      </c>
      <c r="AF40" s="18">
        <f t="shared" si="40"/>
        <v>450</v>
      </c>
      <c r="AG40" s="18">
        <f t="shared" si="40"/>
        <v>53561.52</v>
      </c>
      <c r="AH40" s="18">
        <f t="shared" si="40"/>
        <v>17853.840000000004</v>
      </c>
      <c r="AI40" s="18">
        <f t="shared" si="40"/>
        <v>89269.20000000001</v>
      </c>
      <c r="AJ40" s="18">
        <f t="shared" si="40"/>
        <v>0</v>
      </c>
      <c r="AK40" s="18">
        <f t="shared" si="40"/>
        <v>87483.81600000002</v>
      </c>
      <c r="AL40" s="18">
        <f t="shared" si="40"/>
        <v>0</v>
      </c>
      <c r="AM40" s="18">
        <f t="shared" si="40"/>
        <v>200855.70000000004</v>
      </c>
      <c r="AN40" s="18">
        <f t="shared" si="40"/>
        <v>0</v>
      </c>
      <c r="AO40" s="18">
        <f t="shared" si="40"/>
        <v>9394.92</v>
      </c>
      <c r="AP40" s="18">
        <f t="shared" si="40"/>
        <v>0</v>
      </c>
      <c r="AQ40" s="18">
        <f t="shared" si="40"/>
        <v>106943</v>
      </c>
      <c r="AR40" s="18">
        <f t="shared" si="40"/>
        <v>0</v>
      </c>
      <c r="AS40" s="18">
        <f t="shared" si="40"/>
        <v>91334</v>
      </c>
      <c r="AT40" s="18">
        <f t="shared" si="40"/>
        <v>218139.22000000003</v>
      </c>
      <c r="AU40" s="18">
        <f t="shared" si="40"/>
        <v>15524.487000000001</v>
      </c>
      <c r="AV40" s="18">
        <f t="shared" si="40"/>
        <v>0</v>
      </c>
      <c r="AW40" s="18">
        <f t="shared" si="40"/>
        <v>52229</v>
      </c>
      <c r="AX40" s="18">
        <f t="shared" si="40"/>
        <v>72071.15</v>
      </c>
      <c r="AY40" s="18">
        <f t="shared" si="40"/>
        <v>150956.03498529256</v>
      </c>
      <c r="AZ40" s="18">
        <f t="shared" si="40"/>
        <v>0</v>
      </c>
      <c r="BA40" s="18">
        <f t="shared" si="40"/>
        <v>0</v>
      </c>
      <c r="BB40" s="18">
        <f t="shared" si="40"/>
        <v>1113386.8879852926</v>
      </c>
      <c r="BC40" s="18">
        <f t="shared" si="40"/>
        <v>112.5</v>
      </c>
      <c r="BD40" s="18">
        <f>SUM(BD28:BD39)</f>
        <v>-80075.87798529249</v>
      </c>
      <c r="BE40" s="18">
        <f>SUM(BE28:BE39)</f>
        <v>-18930.119999999974</v>
      </c>
    </row>
    <row r="41" spans="1:56" ht="12.75">
      <c r="A41" s="11"/>
      <c r="B41" s="12"/>
      <c r="C41" s="13"/>
      <c r="D41" s="1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6"/>
      <c r="T41" s="46"/>
      <c r="U41" s="49"/>
      <c r="V41" s="49"/>
      <c r="W41" s="49"/>
      <c r="X41" s="49"/>
      <c r="Y41" s="49"/>
      <c r="Z41" s="49"/>
      <c r="AA41" s="49"/>
      <c r="AB41" s="49"/>
      <c r="AC41" s="85"/>
      <c r="AD41" s="85"/>
      <c r="AE41" s="86"/>
      <c r="AF41" s="86"/>
      <c r="AG41" s="16"/>
      <c r="AH41" s="16"/>
      <c r="AI41" s="16"/>
      <c r="AJ41" s="16"/>
      <c r="AK41" s="16"/>
      <c r="AL41" s="16"/>
      <c r="AM41" s="16"/>
      <c r="AN41" s="16"/>
      <c r="AO41" s="15"/>
      <c r="AP41" s="15"/>
      <c r="AQ41" s="15"/>
      <c r="AR41" s="15"/>
      <c r="AS41" s="80"/>
      <c r="AT41" s="80"/>
      <c r="AU41" s="81"/>
      <c r="AV41" s="81"/>
      <c r="AW41" s="81"/>
      <c r="AX41" s="21"/>
      <c r="AY41" s="15"/>
      <c r="AZ41" s="15"/>
      <c r="BA41" s="16"/>
      <c r="BB41" s="16"/>
      <c r="BC41" s="16"/>
      <c r="BD41" s="16"/>
    </row>
    <row r="42" spans="1:57" s="20" customFormat="1" ht="13.5" thickBot="1">
      <c r="A42" s="22" t="s">
        <v>54</v>
      </c>
      <c r="B42" s="23"/>
      <c r="C42" s="23">
        <f aca="true" t="shared" si="41" ref="C42:AH42">C12+C26+C40</f>
        <v>1929747.5300000003</v>
      </c>
      <c r="D42" s="23">
        <f t="shared" si="41"/>
        <v>399160.2343152001</v>
      </c>
      <c r="E42" s="23">
        <f t="shared" si="41"/>
        <v>169813.42</v>
      </c>
      <c r="F42" s="23">
        <f t="shared" si="41"/>
        <v>23767.99</v>
      </c>
      <c r="G42" s="23">
        <f t="shared" si="41"/>
        <v>231152.07</v>
      </c>
      <c r="H42" s="23">
        <f t="shared" si="41"/>
        <v>32168.950000000004</v>
      </c>
      <c r="I42" s="23">
        <f t="shared" si="41"/>
        <v>555576.04</v>
      </c>
      <c r="J42" s="23">
        <f t="shared" si="41"/>
        <v>77327.72</v>
      </c>
      <c r="K42" s="23">
        <f t="shared" si="41"/>
        <v>389827.7</v>
      </c>
      <c r="L42" s="23">
        <f t="shared" si="41"/>
        <v>54351.479999999996</v>
      </c>
      <c r="M42" s="23">
        <f t="shared" si="41"/>
        <v>136850.46000000002</v>
      </c>
      <c r="N42" s="23">
        <f t="shared" si="41"/>
        <v>19375.63</v>
      </c>
      <c r="O42" s="23">
        <f t="shared" si="41"/>
        <v>0</v>
      </c>
      <c r="P42" s="23">
        <f t="shared" si="41"/>
        <v>0</v>
      </c>
      <c r="Q42" s="23">
        <f t="shared" si="41"/>
        <v>237325.18999999994</v>
      </c>
      <c r="R42" s="23">
        <f t="shared" si="41"/>
        <v>20797.36</v>
      </c>
      <c r="S42" s="23">
        <f t="shared" si="41"/>
        <v>1720544.88</v>
      </c>
      <c r="T42" s="23">
        <f t="shared" si="41"/>
        <v>227789.13</v>
      </c>
      <c r="U42" s="23">
        <f t="shared" si="41"/>
        <v>157375.23</v>
      </c>
      <c r="V42" s="23">
        <f t="shared" si="41"/>
        <v>212366.28999999998</v>
      </c>
      <c r="W42" s="23">
        <f t="shared" si="41"/>
        <v>510056.36</v>
      </c>
      <c r="X42" s="23">
        <f t="shared" si="41"/>
        <v>352636.22</v>
      </c>
      <c r="Y42" s="23">
        <f t="shared" si="41"/>
        <v>126374.03</v>
      </c>
      <c r="Z42" s="23">
        <f t="shared" si="41"/>
        <v>0</v>
      </c>
      <c r="AA42" s="23">
        <f t="shared" si="41"/>
        <v>245216.82</v>
      </c>
      <c r="AB42" s="23">
        <f t="shared" si="41"/>
        <v>1604024.9499999997</v>
      </c>
      <c r="AC42" s="23">
        <f t="shared" si="41"/>
        <v>2230974.3143152</v>
      </c>
      <c r="AD42" s="23">
        <f t="shared" si="41"/>
        <v>0</v>
      </c>
      <c r="AE42" s="23">
        <f t="shared" si="41"/>
        <v>266014.18</v>
      </c>
      <c r="AF42" s="23">
        <f t="shared" si="41"/>
        <v>450</v>
      </c>
      <c r="AG42" s="23">
        <f t="shared" si="41"/>
        <v>132070.104</v>
      </c>
      <c r="AH42" s="23">
        <f t="shared" si="41"/>
        <v>44364.6578838</v>
      </c>
      <c r="AI42" s="23">
        <f aca="true" t="shared" si="42" ref="AI42:BC42">AI12+AI26+AI40</f>
        <v>199568.63571775</v>
      </c>
      <c r="AJ42" s="23">
        <f t="shared" si="42"/>
        <v>19853.898429195</v>
      </c>
      <c r="AK42" s="23">
        <f t="shared" si="42"/>
        <v>201974.66845123</v>
      </c>
      <c r="AL42" s="23">
        <f t="shared" si="42"/>
        <v>20608.3534412214</v>
      </c>
      <c r="AM42" s="23">
        <f t="shared" si="42"/>
        <v>443764.850915279</v>
      </c>
      <c r="AN42" s="23">
        <f t="shared" si="42"/>
        <v>43723.64716475021</v>
      </c>
      <c r="AO42" s="23">
        <f t="shared" si="42"/>
        <v>9394.92</v>
      </c>
      <c r="AP42" s="23">
        <f t="shared" si="42"/>
        <v>0</v>
      </c>
      <c r="AQ42" s="23">
        <f t="shared" si="42"/>
        <v>128760.42</v>
      </c>
      <c r="AR42" s="23">
        <f t="shared" si="42"/>
        <v>3927.1355999999996</v>
      </c>
      <c r="AS42" s="23">
        <f t="shared" si="42"/>
        <v>200593.15999999997</v>
      </c>
      <c r="AT42" s="23">
        <f t="shared" si="42"/>
        <v>232631.22000000003</v>
      </c>
      <c r="AU42" s="23">
        <f t="shared" si="42"/>
        <v>37799.6958</v>
      </c>
      <c r="AV42" s="23">
        <f>AV12+AV26+AV40</f>
        <v>0</v>
      </c>
      <c r="AW42" s="23">
        <f t="shared" si="42"/>
        <v>116196</v>
      </c>
      <c r="AX42" s="23">
        <f t="shared" si="42"/>
        <v>156609.9348</v>
      </c>
      <c r="AY42" s="23">
        <f t="shared" si="42"/>
        <v>300061.3543744653</v>
      </c>
      <c r="AZ42" s="23">
        <f t="shared" si="42"/>
        <v>0</v>
      </c>
      <c r="BA42" s="23">
        <f t="shared" si="42"/>
        <v>0</v>
      </c>
      <c r="BB42" s="23">
        <f>BB12+BB26+BB40</f>
        <v>2175706.6565776905</v>
      </c>
      <c r="BC42" s="23">
        <f t="shared" si="42"/>
        <v>112.5</v>
      </c>
      <c r="BD42" s="140">
        <f>BD26+BD40</f>
        <v>43482.237800661256</v>
      </c>
      <c r="BE42" s="23">
        <f>BE12+BE26+BE39</f>
        <v>-74982.76000000001</v>
      </c>
    </row>
  </sheetData>
  <sheetProtection/>
  <mergeCells count="67">
    <mergeCell ref="V5:V6"/>
    <mergeCell ref="W5:W6"/>
    <mergeCell ref="X5:X6"/>
    <mergeCell ref="Y5:Y6"/>
    <mergeCell ref="BA5:BA6"/>
    <mergeCell ref="AQ5:AQ6"/>
    <mergeCell ref="AR5:AR6"/>
    <mergeCell ref="AT5:AT6"/>
    <mergeCell ref="AZ5:AZ6"/>
    <mergeCell ref="AF3:AF6"/>
    <mergeCell ref="AG3:BB4"/>
    <mergeCell ref="AY5:AY6"/>
    <mergeCell ref="M4:N4"/>
    <mergeCell ref="O4:P4"/>
    <mergeCell ref="Q4:R4"/>
    <mergeCell ref="R5:R6"/>
    <mergeCell ref="M5:M6"/>
    <mergeCell ref="N5:N6"/>
    <mergeCell ref="O5:O6"/>
    <mergeCell ref="AB5:AB6"/>
    <mergeCell ref="AV5:AX5"/>
    <mergeCell ref="E5:E6"/>
    <mergeCell ref="F5:F6"/>
    <mergeCell ref="G5:G6"/>
    <mergeCell ref="H5:H6"/>
    <mergeCell ref="AN5:AN6"/>
    <mergeCell ref="AO5:AO6"/>
    <mergeCell ref="AD3:AD6"/>
    <mergeCell ref="S5:S6"/>
    <mergeCell ref="Z5:Z6"/>
    <mergeCell ref="AA5:AA6"/>
    <mergeCell ref="P5:P6"/>
    <mergeCell ref="Q5:Q6"/>
    <mergeCell ref="I5:I6"/>
    <mergeCell ref="J5:J6"/>
    <mergeCell ref="K5:K6"/>
    <mergeCell ref="L5:L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9">
      <selection activeCell="O48" sqref="C48:P4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12.00390625" style="2" customWidth="1"/>
    <col min="4" max="4" width="10.25390625" style="2" customWidth="1"/>
    <col min="5" max="5" width="11.375" style="2" customWidth="1"/>
    <col min="6" max="6" width="9.875" style="2" customWidth="1"/>
    <col min="7" max="7" width="11.375" style="2" customWidth="1"/>
    <col min="8" max="8" width="11.75390625" style="2" customWidth="1"/>
    <col min="9" max="9" width="10.125" style="2" customWidth="1"/>
    <col min="10" max="10" width="9.875" style="2" customWidth="1"/>
    <col min="11" max="11" width="13.375" style="2" customWidth="1"/>
    <col min="12" max="12" width="10.125" style="2" customWidth="1"/>
    <col min="13" max="13" width="11.125" style="2" customWidth="1"/>
    <col min="14" max="14" width="11.62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296" t="s">
        <v>55</v>
      </c>
      <c r="C1" s="296"/>
      <c r="D1" s="296"/>
      <c r="E1" s="296"/>
      <c r="F1" s="296"/>
      <c r="G1" s="296"/>
      <c r="H1" s="296"/>
    </row>
    <row r="2" spans="2:8" ht="21" customHeight="1">
      <c r="B2" s="296" t="s">
        <v>56</v>
      </c>
      <c r="C2" s="296"/>
      <c r="D2" s="296"/>
      <c r="E2" s="296"/>
      <c r="F2" s="296"/>
      <c r="G2" s="296"/>
      <c r="H2" s="296"/>
    </row>
    <row r="5" spans="1:15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2.75">
      <c r="A6" s="299" t="s">
        <v>57</v>
      </c>
      <c r="B6" s="299"/>
      <c r="C6" s="299"/>
      <c r="D6" s="299"/>
      <c r="E6" s="299"/>
      <c r="F6" s="299"/>
      <c r="G6" s="299"/>
      <c r="H6" s="87"/>
      <c r="I6" s="87"/>
      <c r="J6" s="87"/>
      <c r="K6" s="87"/>
      <c r="L6" s="87"/>
      <c r="M6" s="87"/>
      <c r="N6" s="87"/>
      <c r="O6" s="87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6" ht="13.5" thickBot="1">
      <c r="A8" s="297" t="s">
        <v>58</v>
      </c>
      <c r="B8" s="297"/>
      <c r="C8" s="297"/>
      <c r="D8" s="297"/>
      <c r="E8" s="297">
        <v>8.65</v>
      </c>
      <c r="F8" s="297"/>
    </row>
    <row r="9" spans="1:16" ht="12.75" customHeight="1">
      <c r="A9" s="245" t="s">
        <v>59</v>
      </c>
      <c r="B9" s="323" t="s">
        <v>1</v>
      </c>
      <c r="C9" s="326" t="s">
        <v>60</v>
      </c>
      <c r="D9" s="329" t="s">
        <v>3</v>
      </c>
      <c r="E9" s="311" t="s">
        <v>61</v>
      </c>
      <c r="F9" s="312"/>
      <c r="G9" s="332" t="s">
        <v>62</v>
      </c>
      <c r="H9" s="333"/>
      <c r="I9" s="292" t="s">
        <v>10</v>
      </c>
      <c r="J9" s="291"/>
      <c r="K9" s="291"/>
      <c r="L9" s="291"/>
      <c r="M9" s="291"/>
      <c r="N9" s="293"/>
      <c r="O9" s="300" t="s">
        <v>63</v>
      </c>
      <c r="P9" s="300" t="s">
        <v>12</v>
      </c>
    </row>
    <row r="10" spans="1:16" ht="12.75">
      <c r="A10" s="246"/>
      <c r="B10" s="324"/>
      <c r="C10" s="327"/>
      <c r="D10" s="330"/>
      <c r="E10" s="313"/>
      <c r="F10" s="314"/>
      <c r="G10" s="334"/>
      <c r="H10" s="335"/>
      <c r="I10" s="294"/>
      <c r="J10" s="256"/>
      <c r="K10" s="256"/>
      <c r="L10" s="256"/>
      <c r="M10" s="256"/>
      <c r="N10" s="295"/>
      <c r="O10" s="301"/>
      <c r="P10" s="301"/>
    </row>
    <row r="11" spans="1:16" ht="26.25" customHeight="1">
      <c r="A11" s="246"/>
      <c r="B11" s="324"/>
      <c r="C11" s="327"/>
      <c r="D11" s="330"/>
      <c r="E11" s="303" t="s">
        <v>64</v>
      </c>
      <c r="F11" s="304"/>
      <c r="G11" s="315" t="s">
        <v>91</v>
      </c>
      <c r="H11" s="305" t="s">
        <v>7</v>
      </c>
      <c r="I11" s="307" t="s">
        <v>65</v>
      </c>
      <c r="J11" s="309" t="s">
        <v>32</v>
      </c>
      <c r="K11" s="309" t="s">
        <v>66</v>
      </c>
      <c r="L11" s="309" t="s">
        <v>37</v>
      </c>
      <c r="M11" s="309" t="s">
        <v>67</v>
      </c>
      <c r="N11" s="305" t="s">
        <v>39</v>
      </c>
      <c r="O11" s="301"/>
      <c r="P11" s="301"/>
    </row>
    <row r="12" spans="1:16" ht="66.75" customHeight="1" thickBot="1">
      <c r="A12" s="322"/>
      <c r="B12" s="325"/>
      <c r="C12" s="328"/>
      <c r="D12" s="331"/>
      <c r="E12" s="59" t="s">
        <v>68</v>
      </c>
      <c r="F12" s="62" t="s">
        <v>21</v>
      </c>
      <c r="G12" s="316"/>
      <c r="H12" s="306"/>
      <c r="I12" s="308"/>
      <c r="J12" s="310"/>
      <c r="K12" s="310"/>
      <c r="L12" s="310"/>
      <c r="M12" s="310"/>
      <c r="N12" s="306"/>
      <c r="O12" s="302"/>
      <c r="P12" s="302"/>
    </row>
    <row r="13" spans="1:16" ht="13.5" thickBot="1">
      <c r="A13" s="60">
        <v>1</v>
      </c>
      <c r="B13" s="61">
        <v>2</v>
      </c>
      <c r="C13" s="60">
        <v>3</v>
      </c>
      <c r="D13" s="61">
        <v>4</v>
      </c>
      <c r="E13" s="60">
        <v>5</v>
      </c>
      <c r="F13" s="61">
        <v>6</v>
      </c>
      <c r="G13" s="60">
        <v>7</v>
      </c>
      <c r="H13" s="61">
        <v>8</v>
      </c>
      <c r="I13" s="60">
        <v>9</v>
      </c>
      <c r="J13" s="61">
        <v>10</v>
      </c>
      <c r="K13" s="60">
        <v>11</v>
      </c>
      <c r="L13" s="61">
        <v>12</v>
      </c>
      <c r="M13" s="60">
        <v>13</v>
      </c>
      <c r="N13" s="61">
        <v>14</v>
      </c>
      <c r="O13" s="60">
        <v>15</v>
      </c>
      <c r="P13" s="61">
        <v>16</v>
      </c>
    </row>
    <row r="14" spans="1:16" ht="12.75">
      <c r="A14" s="7" t="s">
        <v>40</v>
      </c>
      <c r="B14" s="8"/>
      <c r="C14" s="25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2"/>
      <c r="P14" s="69"/>
    </row>
    <row r="15" spans="1:16" ht="12.75">
      <c r="A15" s="11" t="s">
        <v>41</v>
      </c>
      <c r="B15" s="75">
        <f>Лист1!B9</f>
        <v>7438.4</v>
      </c>
      <c r="C15" s="26">
        <f>B15*8.65</f>
        <v>64342.159999999996</v>
      </c>
      <c r="D15" s="27">
        <f>Лист1!D9</f>
        <v>15498.7395008</v>
      </c>
      <c r="E15" s="14">
        <f>Лист1!S9</f>
        <v>45681.52</v>
      </c>
      <c r="F15" s="29">
        <f>Лист1!T9</f>
        <v>7398.83</v>
      </c>
      <c r="G15" s="28">
        <f>Лист1!AB9</f>
        <v>569.13</v>
      </c>
      <c r="H15" s="29">
        <f>Лист1!AC9</f>
        <v>23466.6995008</v>
      </c>
      <c r="I15" s="28">
        <f>Лист1!AG9</f>
        <v>4463.04</v>
      </c>
      <c r="J15" s="14">
        <f>Лист1!AI9+Лист1!AJ9</f>
        <v>7476.5143616000005</v>
      </c>
      <c r="K15" s="14">
        <f>Лист1!AH9+Лист1!AK9+Лист1!AL9+Лист1!AM9+Лист1!AN9+Лист1!AO9+Лист1!AP9</f>
        <v>26253.04763504</v>
      </c>
      <c r="L15" s="30">
        <f>Лист1!AS9+Лист1!AU9</f>
        <v>8296.355800000001</v>
      </c>
      <c r="M15" s="30">
        <f>Лист1!AX9</f>
        <v>0</v>
      </c>
      <c r="N15" s="29">
        <f>Лист1!BB9</f>
        <v>46488.95779663999</v>
      </c>
      <c r="O15" s="70">
        <f>Лист1!BD9</f>
        <v>-23022.258295839987</v>
      </c>
      <c r="P15" s="70">
        <f>Лист1!BE9</f>
        <v>-45112.39</v>
      </c>
    </row>
    <row r="16" spans="1:16" ht="12.75">
      <c r="A16" s="11" t="s">
        <v>42</v>
      </c>
      <c r="B16" s="75">
        <f>Лист1!B10</f>
        <v>7438.4</v>
      </c>
      <c r="C16" s="26">
        <f aca="true" t="shared" si="0" ref="C16:C31">B16*8.65</f>
        <v>64342.159999999996</v>
      </c>
      <c r="D16" s="27">
        <f>Лист1!D10</f>
        <v>15498.7395008</v>
      </c>
      <c r="E16" s="14">
        <f>Лист1!S10</f>
        <v>47013.46000000001</v>
      </c>
      <c r="F16" s="29">
        <f>Лист1!T10</f>
        <v>7846.179999999999</v>
      </c>
      <c r="G16" s="28">
        <f>Лист1!AB10</f>
        <v>31287.280000000002</v>
      </c>
      <c r="H16" s="29">
        <f>Лист1!AC10</f>
        <v>54632.1995008</v>
      </c>
      <c r="I16" s="28">
        <f>Лист1!AG10</f>
        <v>4463.04</v>
      </c>
      <c r="J16" s="14">
        <f>Лист1!AI10+Лист1!AJ10</f>
        <v>7476.5143616000005</v>
      </c>
      <c r="K16" s="14">
        <f>Лист1!AH10+Лист1!AK10+Лист1!AL10+Лист1!AM10+Лист1!AN10+Лист1!AO10+Лист1!AP10</f>
        <v>26174.80379824</v>
      </c>
      <c r="L16" s="30">
        <f>Лист1!AS10+Лист1!AU10</f>
        <v>14885.7</v>
      </c>
      <c r="M16" s="30">
        <f>Лист1!AX10</f>
        <v>0</v>
      </c>
      <c r="N16" s="29">
        <f>Лист1!BB10</f>
        <v>53000.05815983999</v>
      </c>
      <c r="O16" s="70">
        <f>Лист1!BD10</f>
        <v>1632.1413409600136</v>
      </c>
      <c r="P16" s="70">
        <f>Лист1!BE10</f>
        <v>-15726.180000000004</v>
      </c>
    </row>
    <row r="17" spans="1:18" ht="13.5" thickBot="1">
      <c r="A17" s="31" t="s">
        <v>43</v>
      </c>
      <c r="B17" s="75">
        <f>Лист1!B11</f>
        <v>7438.4</v>
      </c>
      <c r="C17" s="32">
        <f t="shared" si="0"/>
        <v>64342.159999999996</v>
      </c>
      <c r="D17" s="27">
        <f>Лист1!D11</f>
        <v>15464.638155999999</v>
      </c>
      <c r="E17" s="14">
        <f>Лист1!S11</f>
        <v>45569.29</v>
      </c>
      <c r="F17" s="29">
        <f>Лист1!T11</f>
        <v>7705.89</v>
      </c>
      <c r="G17" s="28">
        <f>Лист1!AB11</f>
        <v>52652.04</v>
      </c>
      <c r="H17" s="29">
        <f>Лист1!AC11</f>
        <v>75822.568156</v>
      </c>
      <c r="I17" s="28">
        <f>Лист1!AG11</f>
        <v>4463.04</v>
      </c>
      <c r="J17" s="14">
        <f>Лист1!AI11+Лист1!AJ11</f>
        <v>7454.628627839999</v>
      </c>
      <c r="K17" s="14">
        <f>Лист1!AH11+Лист1!AK11+Лист1!AL11+Лист1!AM11+Лист1!AN11+Лист1!AO11+Лист1!AP11</f>
        <v>26132.062636431998</v>
      </c>
      <c r="L17" s="30">
        <f>Лист1!AS11+Лист1!AU11</f>
        <v>4259.8</v>
      </c>
      <c r="M17" s="30">
        <f>Лист1!AX11</f>
        <v>0</v>
      </c>
      <c r="N17" s="29">
        <f>Лист1!BB11</f>
        <v>42309.531264272</v>
      </c>
      <c r="O17" s="70">
        <f>Лист1!BD11</f>
        <v>33513.03689172799</v>
      </c>
      <c r="P17" s="70">
        <f>Лист1!BE11</f>
        <v>7082.75</v>
      </c>
      <c r="Q17" s="1"/>
      <c r="R17" s="1"/>
    </row>
    <row r="18" spans="1:18" s="20" customFormat="1" ht="13.5" thickBot="1">
      <c r="A18" s="33" t="s">
        <v>5</v>
      </c>
      <c r="B18" s="34"/>
      <c r="C18" s="35">
        <f>SUM(C15:C17)</f>
        <v>193026.47999999998</v>
      </c>
      <c r="D18" s="63">
        <f aca="true" t="shared" si="1" ref="D18:I18">SUM(D15:D17)</f>
        <v>46462.1171576</v>
      </c>
      <c r="E18" s="35">
        <f t="shared" si="1"/>
        <v>138264.27000000002</v>
      </c>
      <c r="F18" s="64">
        <f t="shared" si="1"/>
        <v>22950.899999999998</v>
      </c>
      <c r="G18" s="63">
        <f t="shared" si="1"/>
        <v>84508.45000000001</v>
      </c>
      <c r="H18" s="64">
        <f t="shared" si="1"/>
        <v>153921.46715759998</v>
      </c>
      <c r="I18" s="63">
        <f t="shared" si="1"/>
        <v>13389.119999999999</v>
      </c>
      <c r="J18" s="35">
        <f aca="true" t="shared" si="2" ref="J18:P18">SUM(J15:J17)</f>
        <v>22407.65735104</v>
      </c>
      <c r="K18" s="35">
        <f t="shared" si="2"/>
        <v>78559.91406971199</v>
      </c>
      <c r="L18" s="35">
        <f t="shared" si="2"/>
        <v>27441.8558</v>
      </c>
      <c r="M18" s="35">
        <f t="shared" si="2"/>
        <v>0</v>
      </c>
      <c r="N18" s="64">
        <f t="shared" si="2"/>
        <v>141798.54722075196</v>
      </c>
      <c r="O18" s="71">
        <f t="shared" si="2"/>
        <v>12122.919936848019</v>
      </c>
      <c r="P18" s="71">
        <f t="shared" si="2"/>
        <v>-53755.82000000001</v>
      </c>
      <c r="Q18" s="66"/>
      <c r="R18" s="67"/>
    </row>
    <row r="19" spans="1:18" ht="12.75">
      <c r="A19" s="7" t="s">
        <v>44</v>
      </c>
      <c r="B19" s="38"/>
      <c r="C19" s="39"/>
      <c r="D19" s="40"/>
      <c r="E19" s="41"/>
      <c r="F19" s="43"/>
      <c r="G19" s="42"/>
      <c r="H19" s="43"/>
      <c r="I19" s="42"/>
      <c r="J19" s="14"/>
      <c r="K19" s="14"/>
      <c r="L19" s="30"/>
      <c r="M19" s="65"/>
      <c r="N19" s="29"/>
      <c r="O19" s="70"/>
      <c r="P19" s="70"/>
      <c r="Q19" s="1"/>
      <c r="R19" s="1"/>
    </row>
    <row r="20" spans="1:18" ht="12.75">
      <c r="A20" s="11" t="s">
        <v>45</v>
      </c>
      <c r="B20" s="75">
        <f>Лист1!B14</f>
        <v>7438.4</v>
      </c>
      <c r="C20" s="26">
        <f t="shared" si="0"/>
        <v>64342.159999999996</v>
      </c>
      <c r="D20" s="27">
        <f>Лист1!D14</f>
        <v>8042.7699999999995</v>
      </c>
      <c r="E20" s="14">
        <f>Лист1!S14</f>
        <v>55545.909999999996</v>
      </c>
      <c r="F20" s="29">
        <f>Лист1!T14</f>
        <v>9141.98</v>
      </c>
      <c r="G20" s="28">
        <f>Лист1!AB14</f>
        <v>35248.18</v>
      </c>
      <c r="H20" s="29">
        <f>Лист1!AC14</f>
        <v>52432.93</v>
      </c>
      <c r="I20" s="28">
        <f>Лист1!AG14</f>
        <v>4016.736</v>
      </c>
      <c r="J20" s="14">
        <f>Лист1!AI14+Лист1!AJ14</f>
        <v>6468.416478399999</v>
      </c>
      <c r="K20" s="14">
        <f>Лист1!AH14+Лист1!AK14+Лист1!AL14+Лист1!AM14+Лист1!AN14+Лист1!AO14+Лист1!AP14+Лист1!AQ14+Лист1!AR14+Лист1!AY14</f>
        <v>34649.400939872</v>
      </c>
      <c r="L20" s="30">
        <f>Лист1!AS14+Лист1!AT14+Лист1!AU14+Лист1!AZ14+Лист1!BA14</f>
        <v>0</v>
      </c>
      <c r="M20" s="30">
        <f>Лист1!AX14</f>
        <v>0</v>
      </c>
      <c r="N20" s="29">
        <f>Лист1!BB14</f>
        <v>45134.553418272</v>
      </c>
      <c r="O20" s="70">
        <f>Лист1!BD14</f>
        <v>7298.376581728</v>
      </c>
      <c r="P20" s="70">
        <f>Лист1!BE14</f>
        <v>-20297.729999999996</v>
      </c>
      <c r="Q20" s="1"/>
      <c r="R20" s="1"/>
    </row>
    <row r="21" spans="1:18" ht="12.75">
      <c r="A21" s="11" t="s">
        <v>46</v>
      </c>
      <c r="B21" s="75">
        <f>Лист1!B15</f>
        <v>7438.4</v>
      </c>
      <c r="C21" s="26">
        <f t="shared" si="0"/>
        <v>64342.159999999996</v>
      </c>
      <c r="D21" s="27">
        <f>Лист1!D15</f>
        <v>8042.7699999999995</v>
      </c>
      <c r="E21" s="14">
        <f>Лист1!S15</f>
        <v>54582.63</v>
      </c>
      <c r="F21" s="29">
        <f>Лист1!T15</f>
        <v>9281.560000000001</v>
      </c>
      <c r="G21" s="28">
        <f>Лист1!AB15</f>
        <v>43759.57000000001</v>
      </c>
      <c r="H21" s="29">
        <f>Лист1!AC15</f>
        <v>61083.90000000001</v>
      </c>
      <c r="I21" s="28">
        <f>Лист1!AG15</f>
        <v>4016.736</v>
      </c>
      <c r="J21" s="14">
        <f>Лист1!AI15+Лист1!AJ15</f>
        <v>6468.4400784</v>
      </c>
      <c r="K21" s="14">
        <f>Лист1!AH15+Лист1!AK15+Лист1!AL15+Лист1!AM15+Лист1!AN15+Лист1!AO15+Лист1!AP15+Лист1!AQ15+Лист1!AR15+Лист1!AY15</f>
        <v>34681.470113792</v>
      </c>
      <c r="L21" s="30">
        <f>Лист1!AS15+Лист1!AT15+Лист1!AU15+Лист1!AZ15+Лист1!BA15</f>
        <v>3634.4</v>
      </c>
      <c r="M21" s="30">
        <f>Лист1!AX15</f>
        <v>0</v>
      </c>
      <c r="N21" s="29">
        <f>Лист1!BB15</f>
        <v>48801.046192192</v>
      </c>
      <c r="O21" s="70">
        <f>Лист1!BD15</f>
        <v>12282.85380780801</v>
      </c>
      <c r="P21" s="70">
        <f>Лист1!BE15</f>
        <v>-10823.05999999999</v>
      </c>
      <c r="Q21" s="1"/>
      <c r="R21" s="1"/>
    </row>
    <row r="22" spans="1:18" ht="12.75">
      <c r="A22" s="11" t="s">
        <v>47</v>
      </c>
      <c r="B22" s="75">
        <f>Лист1!B16</f>
        <v>7438.4</v>
      </c>
      <c r="C22" s="26">
        <f t="shared" si="0"/>
        <v>64342.159999999996</v>
      </c>
      <c r="D22" s="27">
        <f>Лист1!D16</f>
        <v>8042.7699999999995</v>
      </c>
      <c r="E22" s="14">
        <f>Лист1!S16</f>
        <v>50106.520000000004</v>
      </c>
      <c r="F22" s="29">
        <f>Лист1!T16</f>
        <v>9038.18</v>
      </c>
      <c r="G22" s="28">
        <f>Лист1!AB16</f>
        <v>57592.87</v>
      </c>
      <c r="H22" s="29">
        <f>Лист1!AC16</f>
        <v>74673.82</v>
      </c>
      <c r="I22" s="28">
        <f>Лист1!AG16</f>
        <v>4016.736</v>
      </c>
      <c r="J22" s="14">
        <f>Лист1!AI16+Лист1!AJ16</f>
        <v>6472.170435999999</v>
      </c>
      <c r="K22" s="14">
        <f>Лист1!AH16+Лист1!AK16+Лист1!AL16+Лист1!AM16+Лист1!AN16+Лист1!AO16+Лист1!AP16+Лист1!AQ16+Лист1!AR16+Лист1!AY16</f>
        <v>33943.32260452273</v>
      </c>
      <c r="L22" s="30">
        <f>Лист1!AS16+Лист1!AT16+Лист1!AU16+Лист1!AZ16+Лист1!BA16</f>
        <v>7489.46</v>
      </c>
      <c r="M22" s="30">
        <f>Лист1!AX16</f>
        <v>0</v>
      </c>
      <c r="N22" s="29">
        <f>Лист1!BB16</f>
        <v>51921.689040522724</v>
      </c>
      <c r="O22" s="70">
        <f>Лист1!BD16</f>
        <v>22752.130959477283</v>
      </c>
      <c r="P22" s="70">
        <f>Лист1!BE16</f>
        <v>7486.3499999999985</v>
      </c>
      <c r="Q22" s="1"/>
      <c r="R22" s="1"/>
    </row>
    <row r="23" spans="1:18" ht="12.75">
      <c r="A23" s="11" t="s">
        <v>48</v>
      </c>
      <c r="B23" s="75">
        <f>Лист1!B17</f>
        <v>7438.4</v>
      </c>
      <c r="C23" s="26">
        <f t="shared" si="0"/>
        <v>64342.159999999996</v>
      </c>
      <c r="D23" s="27">
        <f>Лист1!D17</f>
        <v>8042.7699999999995</v>
      </c>
      <c r="E23" s="14">
        <f>Лист1!S17</f>
        <v>55922.25</v>
      </c>
      <c r="F23" s="29">
        <f>Лист1!T17</f>
        <v>9093.36</v>
      </c>
      <c r="G23" s="28">
        <f>Лист1!AB17</f>
        <v>53773.56</v>
      </c>
      <c r="H23" s="29">
        <f>Лист1!AC17</f>
        <v>70909.69</v>
      </c>
      <c r="I23" s="28">
        <f>Лист1!AG17</f>
        <v>4016.736</v>
      </c>
      <c r="J23" s="14">
        <f>Лист1!AI17+Лист1!AJ17</f>
        <v>6665.402959679999</v>
      </c>
      <c r="K23" s="14">
        <f>Лист1!AH17+Лист1!AK17+Лист1!AL17+Лист1!AM17+Лист1!AN17+Лист1!AO17+Лист1!AP17+Лист1!AQ17+Лист1!AR17+Лист1!AY17</f>
        <v>34248.543393023996</v>
      </c>
      <c r="L23" s="30">
        <f>Лист1!AS17+Лист1!AT17+Лист1!AU17+Лист1!AY17+Лист1!AZ17</f>
        <v>40778.6752</v>
      </c>
      <c r="M23" s="30">
        <f>Лист1!AX17</f>
        <v>30184.02</v>
      </c>
      <c r="N23" s="29">
        <f>Лист1!BA17</f>
        <v>0</v>
      </c>
      <c r="O23" s="70">
        <f>Лист1!BD17</f>
        <v>-32546.41755270399</v>
      </c>
      <c r="P23" s="70">
        <f>Лист1!BE17</f>
        <v>-2148.6900000000023</v>
      </c>
      <c r="Q23" s="1"/>
      <c r="R23" s="1"/>
    </row>
    <row r="24" spans="1:18" ht="12.75">
      <c r="A24" s="11" t="s">
        <v>49</v>
      </c>
      <c r="B24" s="75">
        <f>Лист1!B18</f>
        <v>7437</v>
      </c>
      <c r="C24" s="26">
        <f t="shared" si="0"/>
        <v>64330.05</v>
      </c>
      <c r="D24" s="27">
        <f>Лист1!D18</f>
        <v>6138.060000000001</v>
      </c>
      <c r="E24" s="14">
        <f>Лист1!S18</f>
        <v>54983.4</v>
      </c>
      <c r="F24" s="29">
        <f>Лист1!T18</f>
        <v>9894.04</v>
      </c>
      <c r="G24" s="28">
        <f>Лист1!AB18</f>
        <v>51049.69</v>
      </c>
      <c r="H24" s="29">
        <f>Лист1!AC18</f>
        <v>67081.79000000001</v>
      </c>
      <c r="I24" s="28">
        <f>Лист1!AG18</f>
        <v>4462.2</v>
      </c>
      <c r="J24" s="14">
        <f>Лист1!AI18+Лист1!AJ18</f>
        <v>7459.311</v>
      </c>
      <c r="K24" s="14">
        <f>Лист1!AH18+Лист1!AK18+Лист1!AL18+Лист1!AM18+Лист1!AN18+Лист1!AO18+Лист1!AP18+Лист1!AQ18+Лист1!AR18+Лист1!AY18</f>
        <v>37985.675971536104</v>
      </c>
      <c r="L24" s="30">
        <f>Лист1!AS18+Лист1!AT18+Лист1!AU18+Лист1!AZ18+Лист1!BA18</f>
        <v>2010.5784</v>
      </c>
      <c r="M24" s="30">
        <f>Лист1!AX18</f>
        <v>6555.136</v>
      </c>
      <c r="N24" s="29">
        <f>Лист1!BB18</f>
        <v>58472.90137153611</v>
      </c>
      <c r="O24" s="70">
        <f>Лист1!BD18</f>
        <v>8608.888628463901</v>
      </c>
      <c r="P24" s="70">
        <f>Лист1!BE18</f>
        <v>-3933.709999999999</v>
      </c>
      <c r="Q24" s="1"/>
      <c r="R24" s="1"/>
    </row>
    <row r="25" spans="1:18" ht="12.75">
      <c r="A25" s="11" t="s">
        <v>50</v>
      </c>
      <c r="B25" s="75">
        <f>Лист1!B19</f>
        <v>7437</v>
      </c>
      <c r="C25" s="26">
        <f t="shared" si="0"/>
        <v>64330.05</v>
      </c>
      <c r="D25" s="27">
        <f>Лист1!D19</f>
        <v>6068.460000000006</v>
      </c>
      <c r="E25" s="14">
        <f>Лист1!S19</f>
        <v>59638.55</v>
      </c>
      <c r="F25" s="29">
        <f>Лист1!T19</f>
        <v>10144.91</v>
      </c>
      <c r="G25" s="28">
        <f>Лист1!AB19</f>
        <v>57636.22</v>
      </c>
      <c r="H25" s="29">
        <f>Лист1!AC19</f>
        <v>73849.59000000001</v>
      </c>
      <c r="I25" s="28">
        <f>Лист1!AG19</f>
        <v>4462.2</v>
      </c>
      <c r="J25" s="14">
        <f>Лист1!AI19+Лист1!AJ19</f>
        <v>7459.311</v>
      </c>
      <c r="K25" s="14">
        <f>Лист1!AH19+Лист1!AK19+Лист1!AL19+Лист1!AM19+Лист1!AN19+Лист1!AO19+Лист1!AP19+Лист1!AQ19+Лист1!AR19+Лист1!AY19</f>
        <v>37986.34530153611</v>
      </c>
      <c r="L25" s="30">
        <f>Лист1!AS19+Лист1!AT19+Лист1!AU19+Лист1!AZ19+Лист1!BA19</f>
        <v>2071.4664000000002</v>
      </c>
      <c r="M25" s="30">
        <f>Лист1!AX19</f>
        <v>7349.417600000001</v>
      </c>
      <c r="N25" s="29">
        <f>Лист1!BB19</f>
        <v>59328.74030153611</v>
      </c>
      <c r="O25" s="70">
        <f>Лист1!BD19</f>
        <v>14520.849698463899</v>
      </c>
      <c r="P25" s="70">
        <f>Лист1!BE19</f>
        <v>-2002.3300000000017</v>
      </c>
      <c r="Q25" s="1"/>
      <c r="R25" s="1"/>
    </row>
    <row r="26" spans="1:18" ht="12.75">
      <c r="A26" s="11" t="s">
        <v>51</v>
      </c>
      <c r="B26" s="75">
        <f>Лист1!B20</f>
        <v>7427.9</v>
      </c>
      <c r="C26" s="26">
        <f t="shared" si="0"/>
        <v>64251.335</v>
      </c>
      <c r="D26" s="27">
        <f>Лист1!D20</f>
        <v>6109.564999999989</v>
      </c>
      <c r="E26" s="14">
        <f>Лист1!S20</f>
        <v>59290.759999999995</v>
      </c>
      <c r="F26" s="29">
        <f>Лист1!T20</f>
        <v>10100.579999999998</v>
      </c>
      <c r="G26" s="28">
        <f>Лист1!AB20</f>
        <v>69745.01</v>
      </c>
      <c r="H26" s="29">
        <f>Лист1!AC20</f>
        <v>85955.15499999998</v>
      </c>
      <c r="I26" s="28">
        <f>Лист1!AG20</f>
        <v>4456.74</v>
      </c>
      <c r="J26" s="14">
        <f>Лист1!AI20+Лист1!AJ20</f>
        <v>7343.64607309</v>
      </c>
      <c r="K26" s="14">
        <f>Лист1!AH20+Лист1!AK20+Лист1!AL20+Лист1!AM20+Лист1!AN20+Лист1!AO20+Лист1!AP20+Лист1!AQ20+Лист1!AR20+Лист1!AY20</f>
        <v>37692.378131139994</v>
      </c>
      <c r="L26" s="30">
        <f>Лист1!AS20+Лист1!AT20+Лист1!AU20+Лист1!AZ20+Лист1!BA20</f>
        <v>3163.816</v>
      </c>
      <c r="M26" s="30">
        <f>Лист1!AX20</f>
        <v>6113.721600000001</v>
      </c>
      <c r="N26" s="29">
        <f>Лист1!BB20</f>
        <v>58770.301804229995</v>
      </c>
      <c r="O26" s="70">
        <f>Лист1!BD20</f>
        <v>27184.85319576999</v>
      </c>
      <c r="P26" s="70">
        <f>Лист1!BE20</f>
        <v>10454.25</v>
      </c>
      <c r="Q26" s="1"/>
      <c r="R26" s="1"/>
    </row>
    <row r="27" spans="1:18" ht="12.75">
      <c r="A27" s="11" t="s">
        <v>52</v>
      </c>
      <c r="B27" s="75">
        <f>Лист1!B21</f>
        <v>7427.9</v>
      </c>
      <c r="C27" s="26">
        <f t="shared" si="0"/>
        <v>64251.335</v>
      </c>
      <c r="D27" s="27">
        <f>Лист1!D21</f>
        <v>9673.045000000006</v>
      </c>
      <c r="E27" s="14">
        <f>Лист1!S21</f>
        <v>54844.1</v>
      </c>
      <c r="F27" s="29">
        <f>Лист1!T21</f>
        <v>10222.09</v>
      </c>
      <c r="G27" s="28">
        <f>Лист1!AB21</f>
        <v>53160.85</v>
      </c>
      <c r="H27" s="29">
        <f>Лист1!AC21</f>
        <v>73055.985</v>
      </c>
      <c r="I27" s="28">
        <f>Лист1!AG21</f>
        <v>4456.74</v>
      </c>
      <c r="J27" s="14">
        <f>Лист1!AI21+Лист1!AJ21</f>
        <v>7340.3679922619995</v>
      </c>
      <c r="K27" s="14">
        <f>Лист1!AH21+Лист1!AK21+Лист1!AL21+Лист1!AM21+Лист1!AN21+Лист1!AO21+Лист1!AP21+Лист1!AQ21+Лист1!AR21+Лист1!AY21</f>
        <v>37687.8304422</v>
      </c>
      <c r="L27" s="30">
        <f>Лист1!AS21+Лист1!AT21+Лист1!AU21+Лист1!AZ21+Лист1!BA21</f>
        <v>10072.48</v>
      </c>
      <c r="M27" s="30">
        <f>Лист1!AX21</f>
        <v>6334.428800000001</v>
      </c>
      <c r="N27" s="29">
        <f>Лист1!BB21</f>
        <v>65891.847234462</v>
      </c>
      <c r="O27" s="70">
        <f>Лист1!BD21</f>
        <v>7164.137765538006</v>
      </c>
      <c r="P27" s="70">
        <f>Лист1!BE21</f>
        <v>-1683.25</v>
      </c>
      <c r="Q27" s="1"/>
      <c r="R27" s="1"/>
    </row>
    <row r="28" spans="1:18" ht="12.75">
      <c r="A28" s="11" t="s">
        <v>53</v>
      </c>
      <c r="B28" s="75">
        <f>Лист1!B22</f>
        <v>7427.9</v>
      </c>
      <c r="C28" s="26">
        <f t="shared" si="0"/>
        <v>64251.335</v>
      </c>
      <c r="D28" s="27">
        <f>Лист1!D22</f>
        <v>6012.664999999993</v>
      </c>
      <c r="E28" s="14">
        <f>Лист1!S22</f>
        <v>54437.58</v>
      </c>
      <c r="F28" s="29">
        <f>Лист1!T22</f>
        <v>10627.949999999999</v>
      </c>
      <c r="G28" s="28">
        <f>Лист1!AB22</f>
        <v>58541.7</v>
      </c>
      <c r="H28" s="29">
        <f>Лист1!AC22</f>
        <v>75182.31499999999</v>
      </c>
      <c r="I28" s="28">
        <f>Лист1!AG22</f>
        <v>4456.74</v>
      </c>
      <c r="J28" s="14">
        <f>Лист1!AI22+Лист1!AJ22</f>
        <v>7339.101461032999</v>
      </c>
      <c r="K28" s="14">
        <f>Лист1!AH22+Лист1!AK22+Лист1!AL22+Лист1!AM22+Лист1!AN22+Лист1!AO22+Лист1!AP22+Лист1!AQ22+Лист1!AR22+Лист1!AY22</f>
        <v>37663.34004240637</v>
      </c>
      <c r="L28" s="30">
        <f>Лист1!AS22+Лист1!AT22+Лист1!AU22+Лист1!AZ22+Лист1!BA22</f>
        <v>0</v>
      </c>
      <c r="M28" s="30">
        <f>Лист1!AX22</f>
        <v>7874.0928</v>
      </c>
      <c r="N28" s="29">
        <f>Лист1!BB22</f>
        <v>57333.27430343937</v>
      </c>
      <c r="O28" s="70">
        <f>Лист1!BD22</f>
        <v>17849.040696560616</v>
      </c>
      <c r="P28" s="70">
        <f>Лист1!BE22</f>
        <v>4104.119999999995</v>
      </c>
      <c r="Q28" s="1"/>
      <c r="R28" s="1"/>
    </row>
    <row r="29" spans="1:18" ht="12.75">
      <c r="A29" s="11" t="s">
        <v>41</v>
      </c>
      <c r="B29" s="75">
        <f>Лист1!B23</f>
        <v>7427.1</v>
      </c>
      <c r="C29" s="26">
        <f>B29*8.65</f>
        <v>64244.41500000001</v>
      </c>
      <c r="D29" s="27">
        <f>Лист1!D23</f>
        <v>6195.895000000011</v>
      </c>
      <c r="E29" s="14">
        <f>Лист1!S23</f>
        <v>58826.69</v>
      </c>
      <c r="F29" s="29">
        <f>Лист1!T23</f>
        <v>10568.22</v>
      </c>
      <c r="G29" s="28">
        <f>Лист1!AB23</f>
        <v>71776.28</v>
      </c>
      <c r="H29" s="29">
        <f>Лист1!AC23</f>
        <v>88540.39500000002</v>
      </c>
      <c r="I29" s="28">
        <f>Лист1!AG23</f>
        <v>4456.26</v>
      </c>
      <c r="J29" s="14">
        <f>Лист1!AI23+Лист1!AJ23</f>
        <v>7423.089366</v>
      </c>
      <c r="K29" s="14">
        <f>Лист1!AH23+Лист1!AK23+Лист1!AL23+Лист1!AM23+Лист1!AN23+Лист1!AO23+Лист1!AP23+Лист1!AQ23+Лист1!AR23+Лист1!AY23</f>
        <v>63621.260180000005</v>
      </c>
      <c r="L29" s="30">
        <f>Лист1!AS23+Лист1!AT23+Лист1!AU23+Лист1!AZ23+Лист1!BA23</f>
        <v>4910.9712</v>
      </c>
      <c r="M29" s="30">
        <f>Лист1!AX23</f>
        <v>7336.2016</v>
      </c>
      <c r="N29" s="29">
        <f>Лист1!BB23</f>
        <v>87747.782346</v>
      </c>
      <c r="O29" s="70">
        <f>Лист1!BD23</f>
        <v>792.6126540000114</v>
      </c>
      <c r="P29" s="70">
        <f>Лист1!BE23</f>
        <v>12949.589999999997</v>
      </c>
      <c r="Q29" s="1"/>
      <c r="R29" s="1"/>
    </row>
    <row r="30" spans="1:18" ht="12.75">
      <c r="A30" s="11" t="s">
        <v>42</v>
      </c>
      <c r="B30" s="75">
        <f>Лист1!B24</f>
        <v>7427.1</v>
      </c>
      <c r="C30" s="26">
        <f t="shared" si="0"/>
        <v>64244.41500000001</v>
      </c>
      <c r="D30" s="27">
        <f>Лист1!D24</f>
        <v>6025.235000000009</v>
      </c>
      <c r="E30" s="14">
        <f>Лист1!S24</f>
        <v>59548.88</v>
      </c>
      <c r="F30" s="29">
        <f>Лист1!T24</f>
        <v>10506.44</v>
      </c>
      <c r="G30" s="28">
        <f>Лист1!AB24</f>
        <v>61667.05999999999</v>
      </c>
      <c r="H30" s="29">
        <f>Лист1!AC24</f>
        <v>78198.735</v>
      </c>
      <c r="I30" s="28">
        <f>Лист1!AG24</f>
        <v>4456.26</v>
      </c>
      <c r="J30" s="14">
        <f>Лист1!AI24+Лист1!AJ24</f>
        <v>7449.3813</v>
      </c>
      <c r="K30" s="14">
        <f>Лист1!AH24+Лист1!AK24+Лист1!AL24+Лист1!AM24+Лист1!AN24+Лист1!AO24+Лист1!AP24+Лист1!AQ24+Лист1!AR24+Лист1!AY24</f>
        <v>37905.264644</v>
      </c>
      <c r="L30" s="30">
        <f>Лист1!AS24+Лист1!AT24+Лист1!AU24+Лист1!AZ24+Лист1!BA24</f>
        <v>8125.48</v>
      </c>
      <c r="M30" s="30">
        <f>Лист1!AX24</f>
        <v>6154.6912</v>
      </c>
      <c r="N30" s="29">
        <f>Лист1!BB24</f>
        <v>64091.077143999995</v>
      </c>
      <c r="O30" s="70">
        <f>Лист1!BD24</f>
        <v>14107.657856000005</v>
      </c>
      <c r="P30" s="70">
        <f>Лист1!BE24</f>
        <v>2118.179999999993</v>
      </c>
      <c r="Q30" s="1"/>
      <c r="R30" s="1"/>
    </row>
    <row r="31" spans="1:18" ht="13.5" thickBot="1">
      <c r="A31" s="31" t="s">
        <v>43</v>
      </c>
      <c r="B31" s="75">
        <f>Лист1!B25</f>
        <v>7427.1</v>
      </c>
      <c r="C31" s="32">
        <f t="shared" si="0"/>
        <v>64244.41500000001</v>
      </c>
      <c r="D31" s="27">
        <f>Лист1!D25</f>
        <v>5998.295000000007</v>
      </c>
      <c r="E31" s="14">
        <f>Лист1!S25</f>
        <v>59239.719999999994</v>
      </c>
      <c r="F31" s="29">
        <f>Лист1!T25</f>
        <v>10257.44</v>
      </c>
      <c r="G31" s="28">
        <f>Лист1!AB25</f>
        <v>72937.83</v>
      </c>
      <c r="H31" s="29">
        <f>Лист1!AC25</f>
        <v>89193.565</v>
      </c>
      <c r="I31" s="28">
        <f>Лист1!AG25</f>
        <v>4456.26</v>
      </c>
      <c r="J31" s="14">
        <f>Лист1!AI25+Лист1!AJ25</f>
        <v>7449.3813</v>
      </c>
      <c r="K31" s="14">
        <f>Лист1!AH25+Лист1!AK25+Лист1!AL25+Лист1!AM25+Лист1!AN25+Лист1!AO25+Лист1!AP25+Лист1!AQ25+Лист1!AR25+Лист1!AY25</f>
        <v>37908.036942</v>
      </c>
      <c r="L31" s="30">
        <f>Лист1!AS25+Лист1!AT25+Лист1!AU25+Лист1!AZ25+Лист1!BA25</f>
        <v>21322.6</v>
      </c>
      <c r="M31" s="30">
        <f>Лист1!AX25</f>
        <v>6637.0752</v>
      </c>
      <c r="N31" s="29">
        <f>Лист1!BB25</f>
        <v>77773.35344199999</v>
      </c>
      <c r="O31" s="70">
        <f>Лист1!BD25</f>
        <v>11420.21155800001</v>
      </c>
      <c r="P31" s="70">
        <f>Лист1!BE25</f>
        <v>13698.110000000008</v>
      </c>
      <c r="Q31" s="1"/>
      <c r="R31" s="1"/>
    </row>
    <row r="32" spans="1:18" s="20" customFormat="1" ht="13.5" thickBot="1">
      <c r="A32" s="33" t="s">
        <v>5</v>
      </c>
      <c r="B32" s="34"/>
      <c r="C32" s="71">
        <f aca="true" t="shared" si="3" ref="C32:O32">SUM(C20:C31)+C18</f>
        <v>964542.4700000001</v>
      </c>
      <c r="D32" s="71">
        <f t="shared" si="3"/>
        <v>130854.41715760002</v>
      </c>
      <c r="E32" s="71">
        <f t="shared" si="3"/>
        <v>815231.26</v>
      </c>
      <c r="F32" s="71">
        <f t="shared" si="3"/>
        <v>141827.65</v>
      </c>
      <c r="G32" s="71">
        <f t="shared" si="3"/>
        <v>771397.2699999998</v>
      </c>
      <c r="H32" s="71">
        <f t="shared" si="3"/>
        <v>1044079.3371575999</v>
      </c>
      <c r="I32" s="71">
        <f t="shared" si="3"/>
        <v>65119.46400000001</v>
      </c>
      <c r="J32" s="71">
        <f t="shared" si="3"/>
        <v>107745.67679590499</v>
      </c>
      <c r="K32" s="71">
        <f t="shared" si="3"/>
        <v>544532.7827757412</v>
      </c>
      <c r="L32" s="71">
        <f t="shared" si="3"/>
        <v>131021.78299999998</v>
      </c>
      <c r="M32" s="71">
        <f t="shared" si="3"/>
        <v>84538.78480000001</v>
      </c>
      <c r="N32" s="71">
        <f t="shared" si="3"/>
        <v>817065.1138189422</v>
      </c>
      <c r="O32" s="71">
        <f t="shared" si="3"/>
        <v>123558.11578595375</v>
      </c>
      <c r="P32" s="71">
        <f>SUM(P20:P31)+P18</f>
        <v>-43833.990000000005</v>
      </c>
      <c r="Q32" s="67"/>
      <c r="R32" s="67"/>
    </row>
    <row r="33" spans="1:18" ht="12.75">
      <c r="A33" s="7" t="s">
        <v>92</v>
      </c>
      <c r="B33" s="38"/>
      <c r="C33" s="39"/>
      <c r="D33" s="40"/>
      <c r="E33" s="41"/>
      <c r="F33" s="43"/>
      <c r="G33" s="42"/>
      <c r="H33" s="43"/>
      <c r="I33" s="42"/>
      <c r="J33" s="14"/>
      <c r="K33" s="14"/>
      <c r="L33" s="30"/>
      <c r="M33" s="65"/>
      <c r="N33" s="29"/>
      <c r="O33" s="70"/>
      <c r="P33" s="70"/>
      <c r="Q33" s="1"/>
      <c r="R33" s="1"/>
    </row>
    <row r="34" spans="1:18" ht="12.75">
      <c r="A34" s="11" t="s">
        <v>45</v>
      </c>
      <c r="B34" s="75">
        <f>Лист1!B28</f>
        <v>7427.1</v>
      </c>
      <c r="C34" s="26">
        <f aca="true" t="shared" si="4" ref="C34:C42">B34*8.65</f>
        <v>64244.41500000001</v>
      </c>
      <c r="D34" s="27">
        <f>Лист1!D28</f>
        <v>5998.235000000008</v>
      </c>
      <c r="E34" s="14">
        <f>Лист1!S28</f>
        <v>59224.06999999999</v>
      </c>
      <c r="F34" s="29">
        <f>Лист1!T28</f>
        <v>10275.58</v>
      </c>
      <c r="G34" s="28">
        <f>Лист1!AB28</f>
        <v>38087.6</v>
      </c>
      <c r="H34" s="29">
        <f>Лист1!AC28</f>
        <v>54361.41500000001</v>
      </c>
      <c r="I34" s="28">
        <f>Лист1!AG28</f>
        <v>4456.26</v>
      </c>
      <c r="J34" s="14">
        <f>Лист1!AI28+Лист1!AJ28</f>
        <v>7427.1</v>
      </c>
      <c r="K34" s="14">
        <f>Лист1!AH28+Лист1!AK28+Лист1!AL28+Лист1!AM28+Лист1!AN28+Лист1!AO28+Лист1!AP28+Лист1!AQ28+Лист1!AR28+Лист1!AY28</f>
        <v>37884.265951</v>
      </c>
      <c r="L34" s="30">
        <f>Лист1!AS28+Лист1!AT28+Лист1!AU28+Лист1!AZ28+Лист1!BA28</f>
        <v>2004</v>
      </c>
      <c r="M34" s="30">
        <f>Лист1!AX28</f>
        <v>5759.599999999999</v>
      </c>
      <c r="N34" s="29">
        <f>Лист1!BB28</f>
        <v>57531.225951</v>
      </c>
      <c r="O34" s="70">
        <f>Лист1!BD28</f>
        <v>-3169.810950999992</v>
      </c>
      <c r="P34" s="70">
        <f>Лист1!BE28</f>
        <v>-21136.469999999994</v>
      </c>
      <c r="Q34" s="1"/>
      <c r="R34" s="1"/>
    </row>
    <row r="35" spans="1:18" ht="12.75">
      <c r="A35" s="11" t="s">
        <v>46</v>
      </c>
      <c r="B35" s="75">
        <f>Лист1!B29</f>
        <v>7427.1</v>
      </c>
      <c r="C35" s="26">
        <f t="shared" si="4"/>
        <v>64244.41500000001</v>
      </c>
      <c r="D35" s="27">
        <f>Лист1!D29</f>
        <v>5980.335000000005</v>
      </c>
      <c r="E35" s="14">
        <f>Лист1!S29</f>
        <v>57427.36</v>
      </c>
      <c r="F35" s="29">
        <f>Лист1!T29</f>
        <v>10139.5</v>
      </c>
      <c r="G35" s="28">
        <f>Лист1!AB29</f>
        <v>58922.590000000004</v>
      </c>
      <c r="H35" s="29">
        <f>Лист1!AC29</f>
        <v>75042.425</v>
      </c>
      <c r="I35" s="28">
        <f>Лист1!AG29</f>
        <v>4456.26</v>
      </c>
      <c r="J35" s="14">
        <f>Лист1!AI29+Лист1!AJ29</f>
        <v>7427.1</v>
      </c>
      <c r="K35" s="14">
        <f>Лист1!AH29+Лист1!AK29+Лист1!AL29+Лист1!AM29+Лист1!AN29+Лист1!AO29+Лист1!AP29+Лист1!AQ29+Лист1!AR29+Лист1!AY29</f>
        <v>37885.052932000006</v>
      </c>
      <c r="L35" s="30">
        <f>Лист1!AS29+Лист1!AT29+Лист1!AU29+Лист1!AZ29+Лист1!BA29</f>
        <v>19729</v>
      </c>
      <c r="M35" s="30">
        <f>Лист1!AX29</f>
        <v>5429.2</v>
      </c>
      <c r="N35" s="29">
        <f>Лист1!BB29</f>
        <v>74926.612932</v>
      </c>
      <c r="O35" s="70">
        <f>Лист1!BD29</f>
        <v>115.81206799999927</v>
      </c>
      <c r="P35" s="70">
        <f>Лист1!BE29</f>
        <v>1495.2300000000032</v>
      </c>
      <c r="Q35" s="1"/>
      <c r="R35" s="1"/>
    </row>
    <row r="36" spans="1:18" ht="12.75">
      <c r="A36" s="11" t="s">
        <v>47</v>
      </c>
      <c r="B36" s="75">
        <f>Лист1!B30</f>
        <v>7427.1</v>
      </c>
      <c r="C36" s="26">
        <f t="shared" si="4"/>
        <v>64244.41500000001</v>
      </c>
      <c r="D36" s="27">
        <f>Лист1!D30</f>
        <v>5964.155000000003</v>
      </c>
      <c r="E36" s="14">
        <f>Лист1!S30</f>
        <v>58655.41</v>
      </c>
      <c r="F36" s="29">
        <f>Лист1!T30</f>
        <v>10556.14</v>
      </c>
      <c r="G36" s="28">
        <f>Лист1!AB30</f>
        <v>77221.48000000001</v>
      </c>
      <c r="H36" s="29">
        <f>Лист1!AC30</f>
        <v>93741.77500000001</v>
      </c>
      <c r="I36" s="28">
        <f>Лист1!AG30</f>
        <v>4456.26</v>
      </c>
      <c r="J36" s="14">
        <f>Лист1!AI30+Лист1!AJ30</f>
        <v>7427.1</v>
      </c>
      <c r="K36" s="14">
        <f>Лист1!AH30+Лист1!AK30+Лист1!AL30+Лист1!AM30+Лист1!AN30+Лист1!AO30+Лист1!AP30+Лист1!AQ30+Лист1!AR30+Лист1!AY30</f>
        <v>54322.972932000004</v>
      </c>
      <c r="L36" s="30">
        <f>Лист1!AS30+Лист1!AT30+Лист1!AU30+Лист1!AZ30+Лист1!BA30</f>
        <v>9979</v>
      </c>
      <c r="M36" s="30">
        <f>Лист1!AX30</f>
        <v>5391.4</v>
      </c>
      <c r="N36" s="29">
        <f>Лист1!BB30</f>
        <v>81576.732932</v>
      </c>
      <c r="O36" s="70">
        <f>Лист1!BD30</f>
        <v>12165.04206800001</v>
      </c>
      <c r="P36" s="70">
        <f>Лист1!BE30</f>
        <v>18566.070000000007</v>
      </c>
      <c r="Q36" s="1"/>
      <c r="R36" s="1"/>
    </row>
    <row r="37" spans="1:18" ht="12.75">
      <c r="A37" s="11" t="s">
        <v>48</v>
      </c>
      <c r="B37" s="75">
        <f>Лист1!B31</f>
        <v>7427.1</v>
      </c>
      <c r="C37" s="26">
        <f t="shared" si="4"/>
        <v>64244.41500000001</v>
      </c>
      <c r="D37" s="27">
        <f>Лист1!D31</f>
        <v>5944.035000000009</v>
      </c>
      <c r="E37" s="14">
        <f>Лист1!S31</f>
        <v>58564.329999999994</v>
      </c>
      <c r="F37" s="29">
        <f>Лист1!T31</f>
        <v>10712.1</v>
      </c>
      <c r="G37" s="28">
        <f>Лист1!AB31</f>
        <v>53773.56</v>
      </c>
      <c r="H37" s="29">
        <f>Лист1!AC31</f>
        <v>70429.695</v>
      </c>
      <c r="I37" s="28">
        <f>Лист1!AG31</f>
        <v>4456.26</v>
      </c>
      <c r="J37" s="14">
        <f>Лист1!AI31+Лист1!AJ31</f>
        <v>7427.1</v>
      </c>
      <c r="K37" s="14">
        <f>Лист1!AH31+Лист1!AK31+Лист1!AL31+Лист1!AM31+Лист1!AN31+Лист1!AO31+Лист1!AP31+Лист1!AQ31+Лист1!AR31+Лист1!AY31</f>
        <v>37885.052932000006</v>
      </c>
      <c r="L37" s="30">
        <f>Лист1!AS31+Лист1!AT31+Лист1!AU31+Лист1!AZ31+Лист1!BA31</f>
        <v>9806</v>
      </c>
      <c r="M37" s="30">
        <f>Лист1!AX31</f>
        <v>6378.4</v>
      </c>
      <c r="N37" s="29">
        <f>Лист1!BB31</f>
        <v>65952.812932</v>
      </c>
      <c r="O37" s="70">
        <f>Лист1!BD31</f>
        <v>4476.882068000006</v>
      </c>
      <c r="P37" s="70">
        <f>Лист1!BE31</f>
        <v>-4790.769999999997</v>
      </c>
      <c r="Q37" s="1"/>
      <c r="R37" s="1"/>
    </row>
    <row r="38" spans="1:18" ht="12.75">
      <c r="A38" s="11" t="s">
        <v>49</v>
      </c>
      <c r="B38" s="75">
        <f>Лист1!B32</f>
        <v>7445.1</v>
      </c>
      <c r="C38" s="26">
        <f t="shared" si="4"/>
        <v>64400.115000000005</v>
      </c>
      <c r="D38" s="27">
        <f>Лист1!D32</f>
        <v>5979.275000000004</v>
      </c>
      <c r="E38" s="14">
        <f>Лист1!S32</f>
        <v>58773.03999999999</v>
      </c>
      <c r="F38" s="29">
        <f>Лист1!T32</f>
        <v>10663.63</v>
      </c>
      <c r="G38" s="28">
        <f>Лист1!AB32</f>
        <v>59452.91</v>
      </c>
      <c r="H38" s="29">
        <f>Лист1!AC32</f>
        <v>76095.815</v>
      </c>
      <c r="I38" s="28">
        <f>Лист1!AG32</f>
        <v>4467.06</v>
      </c>
      <c r="J38" s="14">
        <f>Лист1!AI32+Лист1!AJ32</f>
        <v>7445.1</v>
      </c>
      <c r="K38" s="14">
        <f>Лист1!AH32+Лист1!AK32+Лист1!AL32+Лист1!AM32+Лист1!AN32+Лист1!AO32+Лист1!AP32+Лист1!AQ32+Лист1!AR32+Лист1!AY32</f>
        <v>37964.053</v>
      </c>
      <c r="L38" s="30">
        <f>Лист1!AS32+Лист1!AT32+Лист1!AU32+Лист1!AZ32+Лист1!BA32</f>
        <v>4949</v>
      </c>
      <c r="M38" s="30">
        <f>Лист1!AX32</f>
        <v>6143.2</v>
      </c>
      <c r="N38" s="29">
        <f>Лист1!BB32</f>
        <v>60968.413</v>
      </c>
      <c r="O38" s="70">
        <f>Лист1!BD32</f>
        <v>15127.402000000002</v>
      </c>
      <c r="P38" s="70">
        <f>Лист1!BE32</f>
        <v>679.8700000000099</v>
      </c>
      <c r="Q38" s="1"/>
      <c r="R38" s="1"/>
    </row>
    <row r="39" spans="1:18" ht="12.75">
      <c r="A39" s="11" t="s">
        <v>50</v>
      </c>
      <c r="B39" s="75">
        <f>Лист1!B33</f>
        <v>7445.1</v>
      </c>
      <c r="C39" s="26">
        <f t="shared" si="4"/>
        <v>64400.115000000005</v>
      </c>
      <c r="D39" s="27">
        <f>Лист1!D33</f>
        <v>5996.515000000011</v>
      </c>
      <c r="E39" s="14">
        <f>Лист1!S33</f>
        <v>58560.020000000004</v>
      </c>
      <c r="F39" s="29">
        <f>Лист1!T33</f>
        <v>10663.630000000001</v>
      </c>
      <c r="G39" s="28">
        <f>Лист1!AB33</f>
        <v>47366.69</v>
      </c>
      <c r="H39" s="29">
        <f>Лист1!AC33</f>
        <v>64026.835000000014</v>
      </c>
      <c r="I39" s="28">
        <f>Лист1!AG33</f>
        <v>4467.06</v>
      </c>
      <c r="J39" s="14">
        <f>Лист1!AI33+Лист1!AJ33</f>
        <v>7445.1</v>
      </c>
      <c r="K39" s="14">
        <f>Лист1!AH33+Лист1!AK33+Лист1!AL33+Лист1!AM33+Лист1!AN33+Лист1!AO33+Лист1!AP33+Лист1!AQ33+Лист1!AR33+Лист1!AY33</f>
        <v>38365.073000000004</v>
      </c>
      <c r="L39" s="30">
        <f>Лист1!AS33+Лист1!AT33+Лист1!AU33+Лист1!AZ33+Лист1!BA33</f>
        <v>11781.27</v>
      </c>
      <c r="M39" s="30">
        <f>Лист1!AX33</f>
        <v>5391.4</v>
      </c>
      <c r="N39" s="29">
        <f>Лист1!BB33</f>
        <v>67449.903</v>
      </c>
      <c r="O39" s="70">
        <f>Лист1!BD33</f>
        <v>-3423.067999999992</v>
      </c>
      <c r="P39" s="70">
        <f>Лист1!BE33</f>
        <v>-11193.330000000002</v>
      </c>
      <c r="Q39" s="1"/>
      <c r="R39" s="1"/>
    </row>
    <row r="40" spans="1:18" ht="12.75">
      <c r="A40" s="11" t="s">
        <v>51</v>
      </c>
      <c r="B40" s="75">
        <f>Лист1!B34</f>
        <v>7445.1</v>
      </c>
      <c r="C40" s="26">
        <f t="shared" si="4"/>
        <v>64400.115000000005</v>
      </c>
      <c r="D40" s="27">
        <f>Лист1!D34</f>
        <v>5953.1650000000045</v>
      </c>
      <c r="E40" s="14">
        <f>Лист1!S34</f>
        <v>69598.53</v>
      </c>
      <c r="F40" s="29">
        <f>Лист1!T34</f>
        <v>0</v>
      </c>
      <c r="G40" s="28">
        <f>Лист1!AB34</f>
        <v>66388.24</v>
      </c>
      <c r="H40" s="29">
        <f>Лист1!AC34</f>
        <v>72341.40500000001</v>
      </c>
      <c r="I40" s="28">
        <f>Лист1!AG34</f>
        <v>4467.06</v>
      </c>
      <c r="J40" s="14">
        <f>Лист1!AI34+Лист1!AJ34</f>
        <v>7445.1</v>
      </c>
      <c r="K40" s="14">
        <f>Лист1!AH34+Лист1!AK34+Лист1!AL34+Лист1!AM34+Лист1!AN34+Лист1!AO34+Лист1!AP34+Лист1!AQ34+Лист1!AR34+Лист1!AY34</f>
        <v>38599.823000000004</v>
      </c>
      <c r="L40" s="30">
        <f>Лист1!AS34+Лист1!AT34+Лист1!AU34+Лист1!AZ34+Лист1!BA34</f>
        <v>0</v>
      </c>
      <c r="M40" s="30">
        <f>Лист1!AX34</f>
        <v>6220.2</v>
      </c>
      <c r="N40" s="29">
        <f>Лист1!BB34</f>
        <v>56732.183</v>
      </c>
      <c r="O40" s="70">
        <f>Лист1!BD34</f>
        <v>15609.222000000016</v>
      </c>
      <c r="P40" s="70">
        <f>Лист1!BE34</f>
        <v>-3210.2899999999936</v>
      </c>
      <c r="Q40" s="1"/>
      <c r="R40" s="1"/>
    </row>
    <row r="41" spans="1:18" ht="12.75">
      <c r="A41" s="11" t="s">
        <v>52</v>
      </c>
      <c r="B41" s="75">
        <f>Лист1!B35</f>
        <v>7445.1</v>
      </c>
      <c r="C41" s="26">
        <f t="shared" si="4"/>
        <v>64400.115000000005</v>
      </c>
      <c r="D41" s="27">
        <f>Лист1!D35</f>
        <v>156460.575</v>
      </c>
      <c r="E41" s="14">
        <f>Лист1!S35</f>
        <v>69009.57999999999</v>
      </c>
      <c r="F41" s="29">
        <f>Лист1!T35</f>
        <v>0</v>
      </c>
      <c r="G41" s="28">
        <f>Лист1!AB35</f>
        <v>62927.5</v>
      </c>
      <c r="H41" s="29">
        <f>Лист1!AC35</f>
        <v>219388.075</v>
      </c>
      <c r="I41" s="28">
        <f>Лист1!AG35</f>
        <v>4467.06</v>
      </c>
      <c r="J41" s="14">
        <f>Лист1!AI35+Лист1!AJ35</f>
        <v>7445.1</v>
      </c>
      <c r="K41" s="14">
        <f>Лист1!AH35+Лист1!AK35+Лист1!AL35+Лист1!AM35+Лист1!AN35+Лист1!AO35+Лист1!AP35+Лист1!AQ35+Лист1!AR35+Лист1!AY35</f>
        <v>88349.823</v>
      </c>
      <c r="L41" s="30">
        <f>Лист1!AS35+Лист1!AT35+Лист1!AU35+Лист1!AZ35+Лист1!BA35</f>
        <v>23676.04</v>
      </c>
      <c r="M41" s="30">
        <f>Лист1!AX35</f>
        <v>5285</v>
      </c>
      <c r="N41" s="29">
        <f>Лист1!BB35</f>
        <v>129223.02300000002</v>
      </c>
      <c r="O41" s="70">
        <f>Лист1!BD35</f>
        <v>90165.052</v>
      </c>
      <c r="P41" s="70">
        <f>Лист1!BE35</f>
        <v>-6082.079999999987</v>
      </c>
      <c r="Q41" s="1"/>
      <c r="R41" s="1"/>
    </row>
    <row r="42" spans="1:18" ht="12.75">
      <c r="A42" s="11" t="s">
        <v>53</v>
      </c>
      <c r="B42" s="75">
        <f>Лист1!B36</f>
        <v>7445.1</v>
      </c>
      <c r="C42" s="26">
        <f t="shared" si="4"/>
        <v>64400.115000000005</v>
      </c>
      <c r="D42" s="27">
        <f>Лист1!D36</f>
        <v>5939.595000000007</v>
      </c>
      <c r="E42" s="14">
        <f>Лист1!S36</f>
        <v>69378.83</v>
      </c>
      <c r="F42" s="29">
        <f>Лист1!T36</f>
        <v>0</v>
      </c>
      <c r="G42" s="28">
        <f>Лист1!AB36</f>
        <v>57535.72</v>
      </c>
      <c r="H42" s="29">
        <f>Лист1!AC36</f>
        <v>63475.31500000001</v>
      </c>
      <c r="I42" s="28">
        <f>Лист1!AG36</f>
        <v>4467.06</v>
      </c>
      <c r="J42" s="14">
        <f>Лист1!AI36+Лист1!AJ36</f>
        <v>7445.1</v>
      </c>
      <c r="K42" s="14">
        <f>Лист1!AH36+Лист1!AK36+Лист1!AL36+Лист1!AM36+Лист1!AN36+Лист1!AO36+Лист1!AP36+Лист1!AQ36+Лист1!AR36+Лист1!AY36</f>
        <v>38599.823000000004</v>
      </c>
      <c r="L42" s="30">
        <f>Лист1!AS36+Лист1!AT36+Лист1!AU36+Лист1!AZ36+Лист1!BA36</f>
        <v>4987</v>
      </c>
      <c r="M42" s="30">
        <f>Лист1!AX36</f>
        <v>6763.4</v>
      </c>
      <c r="N42" s="29">
        <f>Лист1!BB36</f>
        <v>62262.383</v>
      </c>
      <c r="O42" s="70">
        <f>Лист1!BD36</f>
        <v>1212.932000000008</v>
      </c>
      <c r="P42" s="70">
        <f>Лист1!BE36</f>
        <v>-11843.11</v>
      </c>
      <c r="Q42" s="1"/>
      <c r="R42" s="1"/>
    </row>
    <row r="43" spans="1:18" ht="12.75">
      <c r="A43" s="11" t="s">
        <v>41</v>
      </c>
      <c r="B43" s="75">
        <f>Лист1!B37</f>
        <v>7445.1</v>
      </c>
      <c r="C43" s="26">
        <f>B43*8.65</f>
        <v>64400.115000000005</v>
      </c>
      <c r="D43" s="27">
        <f>Лист1!D37</f>
        <v>5844.075000000004</v>
      </c>
      <c r="E43" s="14">
        <f>Лист1!S37</f>
        <v>69521</v>
      </c>
      <c r="F43" s="29">
        <f>Лист1!T37</f>
        <v>0</v>
      </c>
      <c r="G43" s="28">
        <f>Лист1!AB37</f>
        <v>67726.71999999999</v>
      </c>
      <c r="H43" s="29">
        <f>Лист1!AC37</f>
        <v>73570.79499999998</v>
      </c>
      <c r="I43" s="28">
        <f>Лист1!AG37</f>
        <v>4467.06</v>
      </c>
      <c r="J43" s="14">
        <f>Лист1!AI37+Лист1!AJ37</f>
        <v>7445.1</v>
      </c>
      <c r="K43" s="14">
        <f>Лист1!AH37+Лист1!AK37+Лист1!AL37+Лист1!AM37+Лист1!AN37+Лист1!AO37+Лист1!AP37+Лист1!AQ37+Лист1!AR37+Лист1!AY37</f>
        <v>87715.443</v>
      </c>
      <c r="L43" s="30">
        <f>Лист1!AS37+Лист1!AT37+Лист1!AU37+Лист1!AZ37+Лист1!BA37</f>
        <v>3909</v>
      </c>
      <c r="M43" s="30">
        <f>Лист1!AX37</f>
        <v>5738.599999999999</v>
      </c>
      <c r="N43" s="29">
        <f>Лист1!BB37</f>
        <v>109275.20300000001</v>
      </c>
      <c r="O43" s="70">
        <f>Лист1!BD37</f>
        <v>-35591.908000000025</v>
      </c>
      <c r="P43" s="70">
        <f>Лист1!BE37</f>
        <v>-1794.2800000000134</v>
      </c>
      <c r="Q43" s="1"/>
      <c r="R43" s="1"/>
    </row>
    <row r="44" spans="1:18" ht="12.75">
      <c r="A44" s="11" t="s">
        <v>42</v>
      </c>
      <c r="B44" s="75">
        <f>Лист1!B38</f>
        <v>7445.1</v>
      </c>
      <c r="C44" s="26">
        <f>B44*8.65</f>
        <v>64400.115000000005</v>
      </c>
      <c r="D44" s="27">
        <f>Лист1!D38</f>
        <v>5951.065000000001</v>
      </c>
      <c r="E44" s="14">
        <f>Лист1!S38</f>
        <v>69202.51000000001</v>
      </c>
      <c r="F44" s="29">
        <f>Лист1!T38</f>
        <v>0</v>
      </c>
      <c r="G44" s="28">
        <f>Лист1!AB38</f>
        <v>66974.5</v>
      </c>
      <c r="H44" s="29">
        <f>Лист1!AC38</f>
        <v>72925.565</v>
      </c>
      <c r="I44" s="28">
        <f>Лист1!AG38</f>
        <v>4467.06</v>
      </c>
      <c r="J44" s="14">
        <f>Лист1!AI38+Лист1!AJ38</f>
        <v>7445.1</v>
      </c>
      <c r="K44" s="14">
        <f>Лист1!AH38+Лист1!AK38+Лист1!AL38+Лист1!AM38+Лист1!AN38+Лист1!AO38+Лист1!AP38+Лист1!AQ38+Лист1!AR38+Лист1!AY38</f>
        <v>37965.653000000006</v>
      </c>
      <c r="L44" s="30">
        <f>Лист1!AS38+Лист1!AT38+Лист1!AU38+Лист1!AZ38+Лист1!BA38</f>
        <v>10828</v>
      </c>
      <c r="M44" s="30">
        <f>Лист1!AX38</f>
        <v>5950</v>
      </c>
      <c r="N44" s="29">
        <f>Лист1!BB38</f>
        <v>66655.813</v>
      </c>
      <c r="O44" s="70">
        <f>Лист1!BD38</f>
        <v>6382.252000000008</v>
      </c>
      <c r="P44" s="70">
        <f>Лист1!BE38</f>
        <v>-2228.0100000000093</v>
      </c>
      <c r="Q44" s="1"/>
      <c r="R44" s="1"/>
    </row>
    <row r="45" spans="1:18" ht="13.5" thickBot="1">
      <c r="A45" s="31" t="s">
        <v>43</v>
      </c>
      <c r="B45" s="75">
        <f>Лист1!B39</f>
        <v>7445.1</v>
      </c>
      <c r="C45" s="32">
        <f>B45*8.65</f>
        <v>64400.115000000005</v>
      </c>
      <c r="D45" s="27">
        <f>Лист1!D39</f>
        <v>5832.675000000007</v>
      </c>
      <c r="E45" s="14">
        <f>Лист1!S39</f>
        <v>69134.67</v>
      </c>
      <c r="F45" s="29">
        <f>Лист1!T39</f>
        <v>0</v>
      </c>
      <c r="G45" s="28">
        <f>Лист1!AB39</f>
        <v>91741.72</v>
      </c>
      <c r="H45" s="29">
        <f>Лист1!AC39</f>
        <v>97574.395</v>
      </c>
      <c r="I45" s="28">
        <f>Лист1!AG39</f>
        <v>4467.06</v>
      </c>
      <c r="J45" s="14">
        <f>Лист1!AI39+Лист1!AJ39</f>
        <v>7445.1</v>
      </c>
      <c r="K45" s="14">
        <f>Лист1!AH39+Лист1!AK39+Лист1!AL39+Лист1!AM39+Лист1!AN39+Лист1!AO39+Лист1!AP39+Лист1!AQ39+Лист1!AR39+Лист1!AY39</f>
        <v>37950.27523829253</v>
      </c>
      <c r="L45" s="30">
        <f>Лист1!AS39+Лист1!AT39+Лист1!AU39+Лист1!AZ39+Лист1!BA39</f>
        <v>223349.39700000003</v>
      </c>
      <c r="M45" s="30">
        <f>Лист1!AX39</f>
        <v>7620.749999999999</v>
      </c>
      <c r="N45" s="29">
        <f>Лист1!BB39</f>
        <v>280832.58223829255</v>
      </c>
      <c r="O45" s="70">
        <f>Лист1!BD39</f>
        <v>-183145.68723829254</v>
      </c>
      <c r="P45" s="70">
        <f>Лист1!BE39</f>
        <v>22607.050000000003</v>
      </c>
      <c r="Q45" s="1"/>
      <c r="R45" s="1"/>
    </row>
    <row r="46" spans="1:18" s="20" customFormat="1" ht="13.5" thickBot="1">
      <c r="A46" s="33" t="s">
        <v>5</v>
      </c>
      <c r="B46" s="34"/>
      <c r="C46" s="35">
        <f aca="true" t="shared" si="5" ref="C46:K46">SUM(C34:C45)</f>
        <v>772178.58</v>
      </c>
      <c r="D46" s="63">
        <f t="shared" si="5"/>
        <v>221843.70000000007</v>
      </c>
      <c r="E46" s="35">
        <f t="shared" si="5"/>
        <v>767049.35</v>
      </c>
      <c r="F46" s="64">
        <f t="shared" si="5"/>
        <v>63010.58</v>
      </c>
      <c r="G46" s="63">
        <f t="shared" si="5"/>
        <v>748119.23</v>
      </c>
      <c r="H46" s="64">
        <f t="shared" si="5"/>
        <v>1032973.5100000002</v>
      </c>
      <c r="I46" s="63">
        <f t="shared" si="5"/>
        <v>53561.52</v>
      </c>
      <c r="J46" s="35">
        <f t="shared" si="5"/>
        <v>89269.20000000001</v>
      </c>
      <c r="K46" s="35">
        <f t="shared" si="5"/>
        <v>573487.3109852925</v>
      </c>
      <c r="L46" s="35">
        <f>SUM(L34:L45)</f>
        <v>324997.70700000005</v>
      </c>
      <c r="M46" s="35">
        <f>SUM(M34:M45)</f>
        <v>72071.15</v>
      </c>
      <c r="N46" s="64">
        <f>SUM(N34:N45)</f>
        <v>1113386.8879852926</v>
      </c>
      <c r="O46" s="71">
        <f>SUM(O34:O45)</f>
        <v>-80075.87798529249</v>
      </c>
      <c r="P46" s="71">
        <f>SUM(P34:P45)</f>
        <v>-18930.119999999974</v>
      </c>
      <c r="Q46" s="67"/>
      <c r="R46" s="67"/>
    </row>
    <row r="47" spans="1:18" ht="13.5" thickBot="1">
      <c r="A47" s="319" t="s">
        <v>69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73"/>
      <c r="Q47" s="1"/>
      <c r="R47" s="1"/>
    </row>
    <row r="48" spans="1:18" s="20" customFormat="1" ht="13.5" thickBot="1">
      <c r="A48" s="74" t="s">
        <v>54</v>
      </c>
      <c r="B48" s="36"/>
      <c r="C48" s="37">
        <f aca="true" t="shared" si="6" ref="C48:N48">C32+C46</f>
        <v>1736721.05</v>
      </c>
      <c r="D48" s="37">
        <f t="shared" si="6"/>
        <v>352698.1171576001</v>
      </c>
      <c r="E48" s="37">
        <f t="shared" si="6"/>
        <v>1582280.6099999999</v>
      </c>
      <c r="F48" s="37">
        <f t="shared" si="6"/>
        <v>204838.22999999998</v>
      </c>
      <c r="G48" s="37">
        <f t="shared" si="6"/>
        <v>1519516.4999999998</v>
      </c>
      <c r="H48" s="37">
        <f t="shared" si="6"/>
        <v>2077052.8471576</v>
      </c>
      <c r="I48" s="37">
        <f t="shared" si="6"/>
        <v>118680.984</v>
      </c>
      <c r="J48" s="37">
        <f t="shared" si="6"/>
        <v>197014.876795905</v>
      </c>
      <c r="K48" s="37">
        <f t="shared" si="6"/>
        <v>1118020.0937610338</v>
      </c>
      <c r="L48" s="37">
        <f t="shared" si="6"/>
        <v>456019.49000000005</v>
      </c>
      <c r="M48" s="37">
        <f t="shared" si="6"/>
        <v>156609.9348</v>
      </c>
      <c r="N48" s="37">
        <f t="shared" si="6"/>
        <v>1930452.001804235</v>
      </c>
      <c r="O48" s="37">
        <f>O32+O46</f>
        <v>43482.237800661256</v>
      </c>
      <c r="P48" s="37">
        <f>P32+P46</f>
        <v>-62764.10999999998</v>
      </c>
      <c r="Q48" s="68"/>
      <c r="R48" s="67"/>
    </row>
    <row r="49" spans="17:18" ht="12.75">
      <c r="Q49" s="1"/>
      <c r="R49" s="1"/>
    </row>
    <row r="50" spans="1:18" ht="12.75">
      <c r="A50" s="20" t="s">
        <v>70</v>
      </c>
      <c r="D50" s="76" t="s">
        <v>76</v>
      </c>
      <c r="Q50" s="1"/>
      <c r="R50" s="1"/>
    </row>
    <row r="51" spans="1:18" ht="12.75">
      <c r="A51" s="21" t="s">
        <v>71</v>
      </c>
      <c r="B51" s="21" t="s">
        <v>72</v>
      </c>
      <c r="C51" s="321" t="s">
        <v>73</v>
      </c>
      <c r="D51" s="321"/>
      <c r="Q51" s="1"/>
      <c r="R51" s="1"/>
    </row>
    <row r="52" spans="1:18" ht="12.75">
      <c r="A52" s="108">
        <v>335043.62</v>
      </c>
      <c r="B52" s="115">
        <v>55060</v>
      </c>
      <c r="C52" s="317">
        <f>A52-B52</f>
        <v>279983.62</v>
      </c>
      <c r="D52" s="318"/>
      <c r="Q52" s="1"/>
      <c r="R52" s="1"/>
    </row>
    <row r="53" spans="1:18" ht="12.75">
      <c r="A53" s="44"/>
      <c r="Q53" s="1"/>
      <c r="R53" s="1"/>
    </row>
    <row r="54" spans="1:18" ht="12.75">
      <c r="A54" s="2" t="s">
        <v>77</v>
      </c>
      <c r="G54" s="2" t="s">
        <v>78</v>
      </c>
      <c r="Q54" s="1"/>
      <c r="R54" s="1"/>
    </row>
    <row r="55" ht="12.75">
      <c r="A55" s="1"/>
    </row>
    <row r="56" ht="12.75">
      <c r="A56" s="1"/>
    </row>
    <row r="57" ht="12.75">
      <c r="A57" s="2" t="s">
        <v>88</v>
      </c>
    </row>
    <row r="58" ht="12.75">
      <c r="A58" s="2" t="s">
        <v>79</v>
      </c>
    </row>
  </sheetData>
  <sheetProtection/>
  <mergeCells count="27">
    <mergeCell ref="C52:D52"/>
    <mergeCell ref="N11:N12"/>
    <mergeCell ref="A47:O47"/>
    <mergeCell ref="C51:D51"/>
    <mergeCell ref="O9:O12"/>
    <mergeCell ref="A9:A12"/>
    <mergeCell ref="B9:B12"/>
    <mergeCell ref="C9:C12"/>
    <mergeCell ref="D9:D12"/>
    <mergeCell ref="G9:H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11:G12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0">
      <selection activeCell="K20" sqref="K20:K31"/>
    </sheetView>
  </sheetViews>
  <sheetFormatPr defaultColWidth="9.00390625" defaultRowHeight="12.75"/>
  <cols>
    <col min="1" max="1" width="10.00390625" style="2" customWidth="1"/>
    <col min="2" max="2" width="11.375" style="2" customWidth="1"/>
    <col min="3" max="3" width="12.00390625" style="2" customWidth="1"/>
    <col min="4" max="4" width="10.25390625" style="2" customWidth="1"/>
    <col min="5" max="5" width="11.375" style="2" customWidth="1"/>
    <col min="6" max="6" width="9.875" style="2" customWidth="1"/>
    <col min="7" max="7" width="11.375" style="2" customWidth="1"/>
    <col min="8" max="8" width="11.75390625" style="2" customWidth="1"/>
    <col min="9" max="9" width="10.125" style="2" customWidth="1"/>
    <col min="10" max="10" width="9.875" style="2" customWidth="1"/>
    <col min="11" max="11" width="12.625" style="2" customWidth="1"/>
    <col min="12" max="12" width="10.125" style="2" customWidth="1"/>
    <col min="13" max="13" width="11.125" style="2" customWidth="1"/>
    <col min="14" max="14" width="11.62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296" t="s">
        <v>55</v>
      </c>
      <c r="C1" s="296"/>
      <c r="D1" s="296"/>
      <c r="E1" s="296"/>
      <c r="F1" s="296"/>
      <c r="G1" s="296"/>
      <c r="H1" s="296"/>
    </row>
    <row r="2" spans="2:8" ht="21" customHeight="1">
      <c r="B2" s="296" t="s">
        <v>56</v>
      </c>
      <c r="C2" s="296"/>
      <c r="D2" s="296"/>
      <c r="E2" s="296"/>
      <c r="F2" s="296"/>
      <c r="G2" s="296"/>
      <c r="H2" s="296"/>
    </row>
    <row r="5" spans="1:15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2.75">
      <c r="A6" s="299" t="s">
        <v>93</v>
      </c>
      <c r="B6" s="299"/>
      <c r="C6" s="299"/>
      <c r="D6" s="299"/>
      <c r="E6" s="299"/>
      <c r="F6" s="299"/>
      <c r="G6" s="299"/>
      <c r="H6" s="87"/>
      <c r="I6" s="87"/>
      <c r="J6" s="87"/>
      <c r="K6" s="87"/>
      <c r="L6" s="87"/>
      <c r="M6" s="87"/>
      <c r="N6" s="87"/>
      <c r="O6" s="87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6" ht="13.5" thickBot="1">
      <c r="A8" s="297" t="s">
        <v>58</v>
      </c>
      <c r="B8" s="297"/>
      <c r="C8" s="297"/>
      <c r="D8" s="297"/>
      <c r="E8" s="297">
        <v>8.65</v>
      </c>
      <c r="F8" s="297"/>
    </row>
    <row r="9" spans="1:16" ht="12.75" customHeight="1">
      <c r="A9" s="245" t="s">
        <v>59</v>
      </c>
      <c r="B9" s="323" t="s">
        <v>1</v>
      </c>
      <c r="C9" s="326" t="s">
        <v>60</v>
      </c>
      <c r="D9" s="329" t="s">
        <v>3</v>
      </c>
      <c r="E9" s="311" t="s">
        <v>61</v>
      </c>
      <c r="F9" s="312"/>
      <c r="G9" s="332" t="s">
        <v>62</v>
      </c>
      <c r="H9" s="333"/>
      <c r="I9" s="292" t="s">
        <v>10</v>
      </c>
      <c r="J9" s="291"/>
      <c r="K9" s="291"/>
      <c r="L9" s="291"/>
      <c r="M9" s="291"/>
      <c r="N9" s="293"/>
      <c r="O9" s="300" t="s">
        <v>63</v>
      </c>
      <c r="P9" s="300" t="s">
        <v>12</v>
      </c>
    </row>
    <row r="10" spans="1:16" ht="12.75">
      <c r="A10" s="246"/>
      <c r="B10" s="324"/>
      <c r="C10" s="327"/>
      <c r="D10" s="330"/>
      <c r="E10" s="313"/>
      <c r="F10" s="314"/>
      <c r="G10" s="334"/>
      <c r="H10" s="335"/>
      <c r="I10" s="294"/>
      <c r="J10" s="256"/>
      <c r="K10" s="256"/>
      <c r="L10" s="256"/>
      <c r="M10" s="256"/>
      <c r="N10" s="295"/>
      <c r="O10" s="301"/>
      <c r="P10" s="301"/>
    </row>
    <row r="11" spans="1:16" ht="26.25" customHeight="1">
      <c r="A11" s="246"/>
      <c r="B11" s="324"/>
      <c r="C11" s="327"/>
      <c r="D11" s="330"/>
      <c r="E11" s="303" t="s">
        <v>64</v>
      </c>
      <c r="F11" s="304"/>
      <c r="G11" s="315" t="s">
        <v>91</v>
      </c>
      <c r="H11" s="305" t="s">
        <v>7</v>
      </c>
      <c r="I11" s="307" t="s">
        <v>65</v>
      </c>
      <c r="J11" s="309" t="s">
        <v>32</v>
      </c>
      <c r="K11" s="309" t="s">
        <v>66</v>
      </c>
      <c r="L11" s="309" t="s">
        <v>37</v>
      </c>
      <c r="M11" s="309" t="s">
        <v>67</v>
      </c>
      <c r="N11" s="305" t="s">
        <v>39</v>
      </c>
      <c r="O11" s="301"/>
      <c r="P11" s="301"/>
    </row>
    <row r="12" spans="1:16" ht="66.75" customHeight="1" thickBot="1">
      <c r="A12" s="322"/>
      <c r="B12" s="325"/>
      <c r="C12" s="328"/>
      <c r="D12" s="331"/>
      <c r="E12" s="59" t="s">
        <v>68</v>
      </c>
      <c r="F12" s="62" t="s">
        <v>21</v>
      </c>
      <c r="G12" s="316"/>
      <c r="H12" s="306"/>
      <c r="I12" s="308"/>
      <c r="J12" s="310"/>
      <c r="K12" s="310"/>
      <c r="L12" s="310"/>
      <c r="M12" s="310"/>
      <c r="N12" s="306"/>
      <c r="O12" s="302"/>
      <c r="P12" s="302"/>
    </row>
    <row r="13" spans="1:16" ht="13.5" thickBot="1">
      <c r="A13" s="60">
        <v>1</v>
      </c>
      <c r="B13" s="61">
        <v>2</v>
      </c>
      <c r="C13" s="60">
        <v>3</v>
      </c>
      <c r="D13" s="61">
        <v>4</v>
      </c>
      <c r="E13" s="60">
        <v>5</v>
      </c>
      <c r="F13" s="61">
        <v>6</v>
      </c>
      <c r="G13" s="60">
        <v>7</v>
      </c>
      <c r="H13" s="61">
        <v>8</v>
      </c>
      <c r="I13" s="60">
        <v>9</v>
      </c>
      <c r="J13" s="61">
        <v>10</v>
      </c>
      <c r="K13" s="60">
        <v>11</v>
      </c>
      <c r="L13" s="61">
        <v>12</v>
      </c>
      <c r="M13" s="60">
        <v>13</v>
      </c>
      <c r="N13" s="61">
        <v>14</v>
      </c>
      <c r="O13" s="60">
        <v>15</v>
      </c>
      <c r="P13" s="61">
        <v>16</v>
      </c>
    </row>
    <row r="14" spans="1:16" ht="12.75">
      <c r="A14" s="7" t="s">
        <v>40</v>
      </c>
      <c r="B14" s="8"/>
      <c r="C14" s="25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2"/>
      <c r="P14" s="69"/>
    </row>
    <row r="15" spans="1:16" ht="12.75">
      <c r="A15" s="11" t="s">
        <v>41</v>
      </c>
      <c r="B15" s="75">
        <f>Лист1!B9</f>
        <v>7438.4</v>
      </c>
      <c r="C15" s="26">
        <f>B15*8.65</f>
        <v>64342.159999999996</v>
      </c>
      <c r="D15" s="27">
        <f>Лист1!D9</f>
        <v>15498.7395008</v>
      </c>
      <c r="E15" s="14">
        <f>Лист1!S9</f>
        <v>45681.52</v>
      </c>
      <c r="F15" s="29">
        <f>Лист1!T9</f>
        <v>7398.83</v>
      </c>
      <c r="G15" s="28">
        <f>Лист1!AB9</f>
        <v>569.13</v>
      </c>
      <c r="H15" s="29">
        <f>Лист1!AC9</f>
        <v>23466.6995008</v>
      </c>
      <c r="I15" s="28">
        <f>Лист1!AG9</f>
        <v>4463.04</v>
      </c>
      <c r="J15" s="14">
        <f>Лист1!AI9+Лист1!AJ9</f>
        <v>7476.5143616000005</v>
      </c>
      <c r="K15" s="14">
        <f>Лист1!AH9+Лист1!AK9+Лист1!AL9+Лист1!AM9+Лист1!AN9+Лист1!AO9+Лист1!AP9</f>
        <v>26253.04763504</v>
      </c>
      <c r="L15" s="30">
        <f>Лист1!AS9+Лист1!AU9</f>
        <v>8296.355800000001</v>
      </c>
      <c r="M15" s="30">
        <f>Лист1!AX9</f>
        <v>0</v>
      </c>
      <c r="N15" s="29">
        <f>Лист1!BB9</f>
        <v>46488.95779663999</v>
      </c>
      <c r="O15" s="70">
        <f>Лист1!BD9</f>
        <v>-23022.258295839987</v>
      </c>
      <c r="P15" s="70">
        <f>Лист1!BE9</f>
        <v>-45112.39</v>
      </c>
    </row>
    <row r="16" spans="1:16" ht="12.75">
      <c r="A16" s="11" t="s">
        <v>42</v>
      </c>
      <c r="B16" s="75">
        <f>Лист1!B10</f>
        <v>7438.4</v>
      </c>
      <c r="C16" s="26">
        <f aca="true" t="shared" si="0" ref="C16:C31">B16*8.65</f>
        <v>64342.159999999996</v>
      </c>
      <c r="D16" s="27">
        <f>Лист1!D10</f>
        <v>15498.7395008</v>
      </c>
      <c r="E16" s="14">
        <f>Лист1!S10</f>
        <v>47013.46000000001</v>
      </c>
      <c r="F16" s="29">
        <f>Лист1!T10</f>
        <v>7846.179999999999</v>
      </c>
      <c r="G16" s="28">
        <f>Лист1!AB10</f>
        <v>31287.280000000002</v>
      </c>
      <c r="H16" s="29">
        <f>Лист1!AC10</f>
        <v>54632.1995008</v>
      </c>
      <c r="I16" s="28">
        <f>Лист1!AG10</f>
        <v>4463.04</v>
      </c>
      <c r="J16" s="14">
        <f>Лист1!AI10+Лист1!AJ10</f>
        <v>7476.5143616000005</v>
      </c>
      <c r="K16" s="14">
        <f>Лист1!AH10+Лист1!AK10+Лист1!AL10+Лист1!AM10+Лист1!AN10+Лист1!AO10+Лист1!AP10</f>
        <v>26174.80379824</v>
      </c>
      <c r="L16" s="30">
        <f>Лист1!AS10+Лист1!AU10</f>
        <v>14885.7</v>
      </c>
      <c r="M16" s="30">
        <f>Лист1!AX10</f>
        <v>0</v>
      </c>
      <c r="N16" s="29">
        <f>Лист1!BB10</f>
        <v>53000.05815983999</v>
      </c>
      <c r="O16" s="70">
        <f>Лист1!BD10</f>
        <v>1632.1413409600136</v>
      </c>
      <c r="P16" s="70">
        <f>Лист1!BE10</f>
        <v>-15726.180000000004</v>
      </c>
    </row>
    <row r="17" spans="1:18" ht="13.5" thickBot="1">
      <c r="A17" s="31" t="s">
        <v>43</v>
      </c>
      <c r="B17" s="75">
        <f>Лист1!B11</f>
        <v>7438.4</v>
      </c>
      <c r="C17" s="32">
        <f t="shared" si="0"/>
        <v>64342.159999999996</v>
      </c>
      <c r="D17" s="27">
        <f>Лист1!D11</f>
        <v>15464.638155999999</v>
      </c>
      <c r="E17" s="14">
        <f>Лист1!S11</f>
        <v>45569.29</v>
      </c>
      <c r="F17" s="29">
        <f>Лист1!T11</f>
        <v>7705.89</v>
      </c>
      <c r="G17" s="28">
        <f>Лист1!AB11</f>
        <v>52652.04</v>
      </c>
      <c r="H17" s="29">
        <f>Лист1!AC11</f>
        <v>75822.568156</v>
      </c>
      <c r="I17" s="28">
        <f>Лист1!AG11</f>
        <v>4463.04</v>
      </c>
      <c r="J17" s="14">
        <f>Лист1!AI11+Лист1!AJ11</f>
        <v>7454.628627839999</v>
      </c>
      <c r="K17" s="14">
        <f>Лист1!AH11+Лист1!AK11+Лист1!AL11+Лист1!AM11+Лист1!AN11+Лист1!AO11+Лист1!AP11</f>
        <v>26132.062636431998</v>
      </c>
      <c r="L17" s="30">
        <f>Лист1!AS11+Лист1!AU11</f>
        <v>4259.8</v>
      </c>
      <c r="M17" s="30">
        <f>Лист1!AX11</f>
        <v>0</v>
      </c>
      <c r="N17" s="29">
        <f>Лист1!BB11</f>
        <v>42309.531264272</v>
      </c>
      <c r="O17" s="70">
        <f>Лист1!BD11</f>
        <v>33513.03689172799</v>
      </c>
      <c r="P17" s="70">
        <f>Лист1!BE11</f>
        <v>7082.75</v>
      </c>
      <c r="Q17" s="1"/>
      <c r="R17" s="1"/>
    </row>
    <row r="18" spans="1:18" s="20" customFormat="1" ht="13.5" thickBot="1">
      <c r="A18" s="33" t="s">
        <v>5</v>
      </c>
      <c r="B18" s="34"/>
      <c r="C18" s="35">
        <f>SUM(C15:C17)</f>
        <v>193026.47999999998</v>
      </c>
      <c r="D18" s="63">
        <f aca="true" t="shared" si="1" ref="D18:P18">SUM(D15:D17)</f>
        <v>46462.1171576</v>
      </c>
      <c r="E18" s="35">
        <f t="shared" si="1"/>
        <v>138264.27000000002</v>
      </c>
      <c r="F18" s="64">
        <f t="shared" si="1"/>
        <v>22950.899999999998</v>
      </c>
      <c r="G18" s="63">
        <f t="shared" si="1"/>
        <v>84508.45000000001</v>
      </c>
      <c r="H18" s="64">
        <f t="shared" si="1"/>
        <v>153921.46715759998</v>
      </c>
      <c r="I18" s="63">
        <f t="shared" si="1"/>
        <v>13389.119999999999</v>
      </c>
      <c r="J18" s="35">
        <f t="shared" si="1"/>
        <v>22407.65735104</v>
      </c>
      <c r="K18" s="35">
        <f t="shared" si="1"/>
        <v>78559.91406971199</v>
      </c>
      <c r="L18" s="35">
        <f t="shared" si="1"/>
        <v>27441.8558</v>
      </c>
      <c r="M18" s="35">
        <f t="shared" si="1"/>
        <v>0</v>
      </c>
      <c r="N18" s="64">
        <f t="shared" si="1"/>
        <v>141798.54722075196</v>
      </c>
      <c r="O18" s="71">
        <f t="shared" si="1"/>
        <v>12122.919936848019</v>
      </c>
      <c r="P18" s="71">
        <f t="shared" si="1"/>
        <v>-53755.82000000001</v>
      </c>
      <c r="Q18" s="66"/>
      <c r="R18" s="67"/>
    </row>
    <row r="19" spans="1:18" ht="12.75">
      <c r="A19" s="7" t="s">
        <v>44</v>
      </c>
      <c r="B19" s="38"/>
      <c r="C19" s="39"/>
      <c r="D19" s="40"/>
      <c r="E19" s="41"/>
      <c r="F19" s="43"/>
      <c r="G19" s="42"/>
      <c r="H19" s="43"/>
      <c r="I19" s="42"/>
      <c r="J19" s="14"/>
      <c r="K19" s="14"/>
      <c r="L19" s="30"/>
      <c r="M19" s="65"/>
      <c r="N19" s="29"/>
      <c r="O19" s="70"/>
      <c r="P19" s="70"/>
      <c r="Q19" s="1"/>
      <c r="R19" s="1"/>
    </row>
    <row r="20" spans="1:18" ht="12.75">
      <c r="A20" s="11" t="s">
        <v>45</v>
      </c>
      <c r="B20" s="75">
        <f>Лист1!B14</f>
        <v>7438.4</v>
      </c>
      <c r="C20" s="26">
        <f t="shared" si="0"/>
        <v>64342.159999999996</v>
      </c>
      <c r="D20" s="27">
        <f>Лист1!D14</f>
        <v>8042.7699999999995</v>
      </c>
      <c r="E20" s="14">
        <f>Лист1!S14</f>
        <v>55545.909999999996</v>
      </c>
      <c r="F20" s="29">
        <f>Лист1!T14</f>
        <v>9141.98</v>
      </c>
      <c r="G20" s="28">
        <f>Лист1!AB14</f>
        <v>35248.18</v>
      </c>
      <c r="H20" s="29">
        <f>Лист1!AC14</f>
        <v>52432.93</v>
      </c>
      <c r="I20" s="28">
        <f>Лист1!AG14</f>
        <v>4016.736</v>
      </c>
      <c r="J20" s="14">
        <f>Лист1!AI14+Лист1!AJ14</f>
        <v>6468.416478399999</v>
      </c>
      <c r="K20" s="14">
        <f>Лист1!AH14+Лист1!AK14+Лист1!AL14+Лист1!AM14+Лист1!AN14+Лист1!AO14+Лист1!AP14+Лист1!AQ14+Лист1!AR14+Лист1!AY14</f>
        <v>34649.400939872</v>
      </c>
      <c r="L20" s="30">
        <f>Лист1!AS14+Лист1!AT14+Лист1!AU14+Лист1!AZ14+Лист1!BA14</f>
        <v>0</v>
      </c>
      <c r="M20" s="30">
        <f>Лист1!AX14</f>
        <v>0</v>
      </c>
      <c r="N20" s="29">
        <f>Лист1!BB14</f>
        <v>45134.553418272</v>
      </c>
      <c r="O20" s="70">
        <f>Лист1!BD14</f>
        <v>7298.376581728</v>
      </c>
      <c r="P20" s="70">
        <f>Лист1!BE14</f>
        <v>-20297.729999999996</v>
      </c>
      <c r="Q20" s="1"/>
      <c r="R20" s="1"/>
    </row>
    <row r="21" spans="1:18" ht="12.75">
      <c r="A21" s="11" t="s">
        <v>46</v>
      </c>
      <c r="B21" s="75">
        <f>Лист1!B15</f>
        <v>7438.4</v>
      </c>
      <c r="C21" s="26">
        <f t="shared" si="0"/>
        <v>64342.159999999996</v>
      </c>
      <c r="D21" s="27">
        <f>Лист1!D15</f>
        <v>8042.7699999999995</v>
      </c>
      <c r="E21" s="14">
        <f>Лист1!S15</f>
        <v>54582.63</v>
      </c>
      <c r="F21" s="29">
        <f>Лист1!T15</f>
        <v>9281.560000000001</v>
      </c>
      <c r="G21" s="28">
        <f>Лист1!AB15</f>
        <v>43759.57000000001</v>
      </c>
      <c r="H21" s="29">
        <f>Лист1!AC15</f>
        <v>61083.90000000001</v>
      </c>
      <c r="I21" s="28">
        <f>Лист1!AG15</f>
        <v>4016.736</v>
      </c>
      <c r="J21" s="14">
        <f>Лист1!AI15+Лист1!AJ15</f>
        <v>6468.4400784</v>
      </c>
      <c r="K21" s="14">
        <f>Лист1!AH15+Лист1!AK15+Лист1!AL15+Лист1!AM15+Лист1!AN15+Лист1!AO15+Лист1!AP15+Лист1!AQ15+Лист1!AR15+Лист1!AY15</f>
        <v>34681.470113792</v>
      </c>
      <c r="L21" s="30">
        <f>Лист1!AS15+Лист1!AT15+Лист1!AU15+Лист1!AZ15+Лист1!BA15</f>
        <v>3634.4</v>
      </c>
      <c r="M21" s="30">
        <f>Лист1!AX15</f>
        <v>0</v>
      </c>
      <c r="N21" s="29">
        <f>Лист1!BB15</f>
        <v>48801.046192192</v>
      </c>
      <c r="O21" s="70">
        <f>Лист1!BD15</f>
        <v>12282.85380780801</v>
      </c>
      <c r="P21" s="70">
        <f>Лист1!BE15</f>
        <v>-10823.05999999999</v>
      </c>
      <c r="Q21" s="1"/>
      <c r="R21" s="1"/>
    </row>
    <row r="22" spans="1:18" ht="12.75">
      <c r="A22" s="11" t="s">
        <v>47</v>
      </c>
      <c r="B22" s="75">
        <f>Лист1!B16</f>
        <v>7438.4</v>
      </c>
      <c r="C22" s="26">
        <f t="shared" si="0"/>
        <v>64342.159999999996</v>
      </c>
      <c r="D22" s="27">
        <f>Лист1!D16</f>
        <v>8042.7699999999995</v>
      </c>
      <c r="E22" s="14">
        <f>Лист1!S16</f>
        <v>50106.520000000004</v>
      </c>
      <c r="F22" s="29">
        <f>Лист1!T16</f>
        <v>9038.18</v>
      </c>
      <c r="G22" s="28">
        <f>Лист1!AB16</f>
        <v>57592.87</v>
      </c>
      <c r="H22" s="29">
        <f>Лист1!AC16</f>
        <v>74673.82</v>
      </c>
      <c r="I22" s="28">
        <f>Лист1!AG16</f>
        <v>4016.736</v>
      </c>
      <c r="J22" s="14">
        <f>Лист1!AI16+Лист1!AJ16</f>
        <v>6472.170435999999</v>
      </c>
      <c r="K22" s="14">
        <f>Лист1!AH16+Лист1!AK16+Лист1!AL16+Лист1!AM16+Лист1!AN16+Лист1!AO16+Лист1!AP16+Лист1!AQ16+Лист1!AR16+Лист1!AY16</f>
        <v>33943.32260452273</v>
      </c>
      <c r="L22" s="30">
        <f>Лист1!AS16+Лист1!AT16+Лист1!AU16+Лист1!AZ16+Лист1!BA16</f>
        <v>7489.46</v>
      </c>
      <c r="M22" s="30">
        <f>Лист1!AX16</f>
        <v>0</v>
      </c>
      <c r="N22" s="29">
        <f>Лист1!BB16</f>
        <v>51921.689040522724</v>
      </c>
      <c r="O22" s="70">
        <f>Лист1!BD16</f>
        <v>22752.130959477283</v>
      </c>
      <c r="P22" s="70">
        <f>Лист1!BE16</f>
        <v>7486.3499999999985</v>
      </c>
      <c r="Q22" s="1"/>
      <c r="R22" s="1"/>
    </row>
    <row r="23" spans="1:18" ht="12.75">
      <c r="A23" s="11" t="s">
        <v>48</v>
      </c>
      <c r="B23" s="75">
        <f>Лист1!B17</f>
        <v>7438.4</v>
      </c>
      <c r="C23" s="26">
        <f t="shared" si="0"/>
        <v>64342.159999999996</v>
      </c>
      <c r="D23" s="27">
        <f>Лист1!D17</f>
        <v>8042.7699999999995</v>
      </c>
      <c r="E23" s="14">
        <f>Лист1!S17</f>
        <v>55922.25</v>
      </c>
      <c r="F23" s="29">
        <f>Лист1!T17</f>
        <v>9093.36</v>
      </c>
      <c r="G23" s="28">
        <f>Лист1!AB17</f>
        <v>53773.56</v>
      </c>
      <c r="H23" s="29">
        <f>Лист1!AC17</f>
        <v>70909.69</v>
      </c>
      <c r="I23" s="28">
        <f>Лист1!AG17</f>
        <v>4016.736</v>
      </c>
      <c r="J23" s="14">
        <f>Лист1!AI17+Лист1!AJ17</f>
        <v>6665.402959679999</v>
      </c>
      <c r="K23" s="14">
        <f>Лист1!AH17+Лист1!AK17+Лист1!AL17+Лист1!AM17+Лист1!AN17+Лист1!AO17+Лист1!AP17+Лист1!AQ17+Лист1!AR17+Лист1!AY17</f>
        <v>34248.543393023996</v>
      </c>
      <c r="L23" s="30">
        <f>Лист1!AS17+Лист1!AT17+Лист1!AU17+Лист1!AY17+Лист1!AZ17</f>
        <v>40778.6752</v>
      </c>
      <c r="M23" s="30">
        <f>Лист1!AX17</f>
        <v>30184.02</v>
      </c>
      <c r="N23" s="29">
        <f>Лист1!BA17</f>
        <v>0</v>
      </c>
      <c r="O23" s="70">
        <f>Лист1!BC17</f>
        <v>0</v>
      </c>
      <c r="P23" s="70">
        <f>Лист1!BC17</f>
        <v>0</v>
      </c>
      <c r="Q23" s="1"/>
      <c r="R23" s="1"/>
    </row>
    <row r="24" spans="1:18" ht="12.75">
      <c r="A24" s="11" t="s">
        <v>49</v>
      </c>
      <c r="B24" s="75">
        <f>Лист1!B18</f>
        <v>7437</v>
      </c>
      <c r="C24" s="26">
        <f t="shared" si="0"/>
        <v>64330.05</v>
      </c>
      <c r="D24" s="27">
        <f>Лист1!D18</f>
        <v>6138.060000000001</v>
      </c>
      <c r="E24" s="14">
        <f>Лист1!S18</f>
        <v>54983.4</v>
      </c>
      <c r="F24" s="29">
        <f>Лист1!T18</f>
        <v>9894.04</v>
      </c>
      <c r="G24" s="28">
        <f>Лист1!AB18</f>
        <v>51049.69</v>
      </c>
      <c r="H24" s="29">
        <f>Лист1!AC18</f>
        <v>67081.79000000001</v>
      </c>
      <c r="I24" s="28">
        <f>Лист1!AG18</f>
        <v>4462.2</v>
      </c>
      <c r="J24" s="14">
        <f>Лист1!AI18+Лист1!AJ18</f>
        <v>7459.311</v>
      </c>
      <c r="K24" s="14">
        <f>Лист1!AH18+Лист1!AK18+Лист1!AL18+Лист1!AM18+Лист1!AN18+Лист1!AO18+Лист1!AP18+Лист1!AQ18+Лист1!AR18+Лист1!AY18</f>
        <v>37985.675971536104</v>
      </c>
      <c r="L24" s="30">
        <f>Лист1!AS18+Лист1!AT18+Лист1!AU18+Лист1!AZ18+Лист1!BA18</f>
        <v>2010.5784</v>
      </c>
      <c r="M24" s="30">
        <f>Лист1!AX18</f>
        <v>6555.136</v>
      </c>
      <c r="N24" s="29">
        <f>Лист1!BB18</f>
        <v>58472.90137153611</v>
      </c>
      <c r="O24" s="70">
        <f>Лист1!BD18</f>
        <v>8608.888628463901</v>
      </c>
      <c r="P24" s="70">
        <f>Лист1!BE18</f>
        <v>-3933.709999999999</v>
      </c>
      <c r="Q24" s="1"/>
      <c r="R24" s="1"/>
    </row>
    <row r="25" spans="1:18" ht="12.75">
      <c r="A25" s="11" t="s">
        <v>50</v>
      </c>
      <c r="B25" s="75">
        <f>Лист1!B19</f>
        <v>7437</v>
      </c>
      <c r="C25" s="26">
        <f t="shared" si="0"/>
        <v>64330.05</v>
      </c>
      <c r="D25" s="27">
        <f>Лист1!D19</f>
        <v>6068.460000000006</v>
      </c>
      <c r="E25" s="14">
        <f>Лист1!S19</f>
        <v>59638.55</v>
      </c>
      <c r="F25" s="29">
        <f>Лист1!T19</f>
        <v>10144.91</v>
      </c>
      <c r="G25" s="28">
        <f>Лист1!AB19</f>
        <v>57636.22</v>
      </c>
      <c r="H25" s="29">
        <f>Лист1!AC19</f>
        <v>73849.59000000001</v>
      </c>
      <c r="I25" s="28">
        <f>Лист1!AG19</f>
        <v>4462.2</v>
      </c>
      <c r="J25" s="14">
        <f>Лист1!AI19+Лист1!AJ19</f>
        <v>7459.311</v>
      </c>
      <c r="K25" s="14">
        <f>Лист1!AH19+Лист1!AK19+Лист1!AL19+Лист1!AM19+Лист1!AN19+Лист1!AO19+Лист1!AP19+Лист1!AQ19+Лист1!AR19+Лист1!AY19</f>
        <v>37986.34530153611</v>
      </c>
      <c r="L25" s="30">
        <f>Лист1!AS19+Лист1!AT19+Лист1!AU19+Лист1!AZ19+Лист1!BA19</f>
        <v>2071.4664000000002</v>
      </c>
      <c r="M25" s="30">
        <f>Лист1!AX19</f>
        <v>7349.417600000001</v>
      </c>
      <c r="N25" s="29">
        <f>Лист1!BB19</f>
        <v>59328.74030153611</v>
      </c>
      <c r="O25" s="70">
        <f>Лист1!BD19</f>
        <v>14520.849698463899</v>
      </c>
      <c r="P25" s="70">
        <f>Лист1!BE19</f>
        <v>-2002.3300000000017</v>
      </c>
      <c r="Q25" s="1"/>
      <c r="R25" s="1"/>
    </row>
    <row r="26" spans="1:18" ht="12.75">
      <c r="A26" s="11" t="s">
        <v>51</v>
      </c>
      <c r="B26" s="75">
        <f>Лист1!B20</f>
        <v>7427.9</v>
      </c>
      <c r="C26" s="26">
        <f t="shared" si="0"/>
        <v>64251.335</v>
      </c>
      <c r="D26" s="27">
        <f>Лист1!D20</f>
        <v>6109.564999999989</v>
      </c>
      <c r="E26" s="14">
        <f>Лист1!S20</f>
        <v>59290.759999999995</v>
      </c>
      <c r="F26" s="29">
        <f>Лист1!T20</f>
        <v>10100.579999999998</v>
      </c>
      <c r="G26" s="28">
        <f>Лист1!AB20</f>
        <v>69745.01</v>
      </c>
      <c r="H26" s="29">
        <f>Лист1!AC20</f>
        <v>85955.15499999998</v>
      </c>
      <c r="I26" s="28">
        <f>Лист1!AG20</f>
        <v>4456.74</v>
      </c>
      <c r="J26" s="14">
        <f>Лист1!AI20+Лист1!AJ20</f>
        <v>7343.64607309</v>
      </c>
      <c r="K26" s="14">
        <f>Лист1!AH20+Лист1!AK20+Лист1!AL20+Лист1!AM20+Лист1!AN20+Лист1!AO20+Лист1!AP20+Лист1!AQ20+Лист1!AR20+Лист1!AY20</f>
        <v>37692.378131139994</v>
      </c>
      <c r="L26" s="30">
        <f>Лист1!AS20+Лист1!AT20+Лист1!AU20+Лист1!AZ20+Лист1!BA20</f>
        <v>3163.816</v>
      </c>
      <c r="M26" s="30">
        <f>Лист1!AX20</f>
        <v>6113.721600000001</v>
      </c>
      <c r="N26" s="29">
        <f>Лист1!BB20</f>
        <v>58770.301804229995</v>
      </c>
      <c r="O26" s="70">
        <f>Лист1!BD20</f>
        <v>27184.85319576999</v>
      </c>
      <c r="P26" s="70">
        <f>Лист1!BE20</f>
        <v>10454.25</v>
      </c>
      <c r="Q26" s="1"/>
      <c r="R26" s="1"/>
    </row>
    <row r="27" spans="1:18" ht="12.75">
      <c r="A27" s="11" t="s">
        <v>52</v>
      </c>
      <c r="B27" s="75">
        <f>Лист1!B21</f>
        <v>7427.9</v>
      </c>
      <c r="C27" s="26">
        <f t="shared" si="0"/>
        <v>64251.335</v>
      </c>
      <c r="D27" s="27">
        <f>Лист1!D21</f>
        <v>9673.045000000006</v>
      </c>
      <c r="E27" s="14">
        <f>Лист1!S21</f>
        <v>54844.1</v>
      </c>
      <c r="F27" s="29">
        <f>Лист1!T21</f>
        <v>10222.09</v>
      </c>
      <c r="G27" s="28">
        <f>Лист1!AB21</f>
        <v>53160.85</v>
      </c>
      <c r="H27" s="29">
        <f>Лист1!AC21</f>
        <v>73055.985</v>
      </c>
      <c r="I27" s="28">
        <f>Лист1!AG21</f>
        <v>4456.74</v>
      </c>
      <c r="J27" s="14">
        <f>Лист1!AI21+Лист1!AJ21</f>
        <v>7340.3679922619995</v>
      </c>
      <c r="K27" s="14">
        <f>Лист1!AH21+Лист1!AK21+Лист1!AL21+Лист1!AM21+Лист1!AN21+Лист1!AO21+Лист1!AP21+Лист1!AQ21+Лист1!AR21+Лист1!AY21</f>
        <v>37687.8304422</v>
      </c>
      <c r="L27" s="30">
        <f>Лист1!AS21+Лист1!AT21+Лист1!AU21+Лист1!AZ21+Лист1!BA21</f>
        <v>10072.48</v>
      </c>
      <c r="M27" s="30">
        <f>Лист1!AX21</f>
        <v>6334.428800000001</v>
      </c>
      <c r="N27" s="29">
        <f>Лист1!BB21</f>
        <v>65891.847234462</v>
      </c>
      <c r="O27" s="70">
        <f>Лист1!BD21</f>
        <v>7164.137765538006</v>
      </c>
      <c r="P27" s="70">
        <f>Лист1!BE21</f>
        <v>-1683.25</v>
      </c>
      <c r="Q27" s="1"/>
      <c r="R27" s="1"/>
    </row>
    <row r="28" spans="1:18" ht="12.75">
      <c r="A28" s="11" t="s">
        <v>53</v>
      </c>
      <c r="B28" s="75">
        <f>Лист1!B22</f>
        <v>7427.9</v>
      </c>
      <c r="C28" s="26">
        <f t="shared" si="0"/>
        <v>64251.335</v>
      </c>
      <c r="D28" s="27">
        <f>Лист1!D22</f>
        <v>6012.664999999993</v>
      </c>
      <c r="E28" s="14">
        <f>Лист1!S22</f>
        <v>54437.58</v>
      </c>
      <c r="F28" s="29">
        <f>Лист1!T22</f>
        <v>10627.949999999999</v>
      </c>
      <c r="G28" s="28">
        <f>Лист1!AB22</f>
        <v>58541.7</v>
      </c>
      <c r="H28" s="29">
        <f>Лист1!AC22</f>
        <v>75182.31499999999</v>
      </c>
      <c r="I28" s="28">
        <f>Лист1!AG22</f>
        <v>4456.74</v>
      </c>
      <c r="J28" s="14">
        <f>Лист1!AI22+Лист1!AJ22</f>
        <v>7339.101461032999</v>
      </c>
      <c r="K28" s="14">
        <f>Лист1!AH22+Лист1!AK22+Лист1!AL22+Лист1!AM22+Лист1!AN22+Лист1!AO22+Лист1!AP22+Лист1!AQ22+Лист1!AR22+Лист1!AY22</f>
        <v>37663.34004240637</v>
      </c>
      <c r="L28" s="30">
        <f>Лист1!AS22+Лист1!AT22+Лист1!AU22+Лист1!AZ22+Лист1!BA22</f>
        <v>0</v>
      </c>
      <c r="M28" s="30">
        <f>Лист1!AX22</f>
        <v>7874.0928</v>
      </c>
      <c r="N28" s="29">
        <f>Лист1!BB22</f>
        <v>57333.27430343937</v>
      </c>
      <c r="O28" s="70">
        <f>Лист1!BD22</f>
        <v>17849.040696560616</v>
      </c>
      <c r="P28" s="70">
        <f>Лист1!BE22</f>
        <v>4104.119999999995</v>
      </c>
      <c r="Q28" s="1"/>
      <c r="R28" s="1"/>
    </row>
    <row r="29" spans="1:18" ht="12.75">
      <c r="A29" s="11" t="s">
        <v>41</v>
      </c>
      <c r="B29" s="75">
        <f>Лист1!B23</f>
        <v>7427.1</v>
      </c>
      <c r="C29" s="26">
        <f>B29*8.65</f>
        <v>64244.41500000001</v>
      </c>
      <c r="D29" s="27">
        <f>Лист1!D23</f>
        <v>6195.895000000011</v>
      </c>
      <c r="E29" s="14">
        <f>Лист1!S23</f>
        <v>58826.69</v>
      </c>
      <c r="F29" s="29">
        <f>Лист1!T23</f>
        <v>10568.22</v>
      </c>
      <c r="G29" s="28">
        <f>Лист1!AB23</f>
        <v>71776.28</v>
      </c>
      <c r="H29" s="29">
        <f>Лист1!AC23</f>
        <v>88540.39500000002</v>
      </c>
      <c r="I29" s="28">
        <f>Лист1!AG23</f>
        <v>4456.26</v>
      </c>
      <c r="J29" s="14">
        <f>Лист1!AI23+Лист1!AJ23</f>
        <v>7423.089366</v>
      </c>
      <c r="K29" s="14">
        <f>Лист1!AH23+Лист1!AK23+Лист1!AL23+Лист1!AM23+Лист1!AN23+Лист1!AO23+Лист1!AP23+Лист1!AQ23+Лист1!AR23+Лист1!AY23</f>
        <v>63621.260180000005</v>
      </c>
      <c r="L29" s="30">
        <f>Лист1!AS23+Лист1!AT23+Лист1!AU23+Лист1!AZ23+Лист1!BA23</f>
        <v>4910.9712</v>
      </c>
      <c r="M29" s="30">
        <f>Лист1!AX23</f>
        <v>7336.2016</v>
      </c>
      <c r="N29" s="29">
        <f>Лист1!BB23</f>
        <v>87747.782346</v>
      </c>
      <c r="O29" s="70">
        <f>Лист1!BD23</f>
        <v>792.6126540000114</v>
      </c>
      <c r="P29" s="70">
        <f>Лист1!BE23</f>
        <v>12949.589999999997</v>
      </c>
      <c r="Q29" s="1"/>
      <c r="R29" s="1"/>
    </row>
    <row r="30" spans="1:18" ht="12.75">
      <c r="A30" s="11" t="s">
        <v>42</v>
      </c>
      <c r="B30" s="75">
        <f>Лист1!B24</f>
        <v>7427.1</v>
      </c>
      <c r="C30" s="26">
        <f t="shared" si="0"/>
        <v>64244.41500000001</v>
      </c>
      <c r="D30" s="27">
        <f>Лист1!D24</f>
        <v>6025.235000000009</v>
      </c>
      <c r="E30" s="14">
        <f>Лист1!S24</f>
        <v>59548.88</v>
      </c>
      <c r="F30" s="29">
        <f>Лист1!T24</f>
        <v>10506.44</v>
      </c>
      <c r="G30" s="28">
        <f>Лист1!AB24</f>
        <v>61667.05999999999</v>
      </c>
      <c r="H30" s="29">
        <f>Лист1!AC24</f>
        <v>78198.735</v>
      </c>
      <c r="I30" s="28">
        <f>Лист1!AG24</f>
        <v>4456.26</v>
      </c>
      <c r="J30" s="14">
        <f>Лист1!AI24+Лист1!AJ24</f>
        <v>7449.3813</v>
      </c>
      <c r="K30" s="14">
        <f>Лист1!AH24+Лист1!AK24+Лист1!AL24+Лист1!AM24+Лист1!AN24+Лист1!AO24+Лист1!AP24+Лист1!AQ24+Лист1!AR24+Лист1!AY24</f>
        <v>37905.264644</v>
      </c>
      <c r="L30" s="30">
        <f>Лист1!AS24+Лист1!AT24+Лист1!AU24+Лист1!AZ24+Лист1!BA24</f>
        <v>8125.48</v>
      </c>
      <c r="M30" s="30">
        <f>Лист1!AX24</f>
        <v>6154.6912</v>
      </c>
      <c r="N30" s="29">
        <f>Лист1!BB24</f>
        <v>64091.077143999995</v>
      </c>
      <c r="O30" s="70">
        <f>Лист1!BD24</f>
        <v>14107.657856000005</v>
      </c>
      <c r="P30" s="70">
        <f>Лист1!BE24</f>
        <v>2118.179999999993</v>
      </c>
      <c r="Q30" s="1"/>
      <c r="R30" s="1"/>
    </row>
    <row r="31" spans="1:18" ht="13.5" thickBot="1">
      <c r="A31" s="31" t="s">
        <v>43</v>
      </c>
      <c r="B31" s="75">
        <f>Лист1!B25</f>
        <v>7427.1</v>
      </c>
      <c r="C31" s="32">
        <f t="shared" si="0"/>
        <v>64244.41500000001</v>
      </c>
      <c r="D31" s="27">
        <f>Лист1!D25</f>
        <v>5998.295000000007</v>
      </c>
      <c r="E31" s="14">
        <f>Лист1!S25</f>
        <v>59239.719999999994</v>
      </c>
      <c r="F31" s="29">
        <f>Лист1!T25</f>
        <v>10257.44</v>
      </c>
      <c r="G31" s="28">
        <f>Лист1!AB25</f>
        <v>72937.83</v>
      </c>
      <c r="H31" s="29">
        <f>Лист1!AC25</f>
        <v>89193.565</v>
      </c>
      <c r="I31" s="28">
        <f>Лист1!AG25</f>
        <v>4456.26</v>
      </c>
      <c r="J31" s="14">
        <f>Лист1!AI25+Лист1!AJ25</f>
        <v>7449.3813</v>
      </c>
      <c r="K31" s="14">
        <f>Лист1!AH25+Лист1!AK25+Лист1!AL25+Лист1!AM25+Лист1!AN25+Лист1!AO25+Лист1!AP25+Лист1!AQ25+Лист1!AR25+Лист1!AY25</f>
        <v>37908.036942</v>
      </c>
      <c r="L31" s="30">
        <f>Лист1!AS25+Лист1!AT25+Лист1!AU25+Лист1!AZ25+Лист1!BA25</f>
        <v>21322.6</v>
      </c>
      <c r="M31" s="30">
        <f>Лист1!AX25</f>
        <v>6637.0752</v>
      </c>
      <c r="N31" s="29">
        <f>Лист1!BB25</f>
        <v>77773.35344199999</v>
      </c>
      <c r="O31" s="70">
        <f>Лист1!BD25</f>
        <v>11420.21155800001</v>
      </c>
      <c r="P31" s="70">
        <f>Лист1!BE25</f>
        <v>13698.110000000008</v>
      </c>
      <c r="Q31" s="1"/>
      <c r="R31" s="1"/>
    </row>
    <row r="32" spans="1:18" s="20" customFormat="1" ht="13.5" thickBot="1">
      <c r="A32" s="33" t="s">
        <v>54</v>
      </c>
      <c r="B32" s="34"/>
      <c r="C32" s="35">
        <f aca="true" t="shared" si="2" ref="C32:P32">SUM(C20:C31)</f>
        <v>771515.9900000001</v>
      </c>
      <c r="D32" s="63">
        <f t="shared" si="2"/>
        <v>84392.30000000002</v>
      </c>
      <c r="E32" s="35">
        <f t="shared" si="2"/>
        <v>676966.99</v>
      </c>
      <c r="F32" s="64">
        <f t="shared" si="2"/>
        <v>118876.75</v>
      </c>
      <c r="G32" s="63">
        <f t="shared" si="2"/>
        <v>686888.8199999998</v>
      </c>
      <c r="H32" s="64">
        <f t="shared" si="2"/>
        <v>890157.8699999999</v>
      </c>
      <c r="I32" s="63">
        <f t="shared" si="2"/>
        <v>51730.344000000005</v>
      </c>
      <c r="J32" s="35">
        <f t="shared" si="2"/>
        <v>85338.01944486499</v>
      </c>
      <c r="K32" s="35">
        <f t="shared" si="2"/>
        <v>465972.8687060292</v>
      </c>
      <c r="L32" s="35">
        <f>SUM(L20:L31)</f>
        <v>103579.92719999998</v>
      </c>
      <c r="M32" s="35">
        <f t="shared" si="2"/>
        <v>84538.78480000001</v>
      </c>
      <c r="N32" s="64">
        <f t="shared" si="2"/>
        <v>675266.5665981902</v>
      </c>
      <c r="O32" s="71">
        <f t="shared" si="2"/>
        <v>143981.6134018097</v>
      </c>
      <c r="P32" s="71">
        <f t="shared" si="2"/>
        <v>12070.520000000004</v>
      </c>
      <c r="Q32" s="67"/>
      <c r="R32" s="67"/>
    </row>
    <row r="33" spans="1:18" s="20" customFormat="1" ht="12.75">
      <c r="A33" s="336" t="s">
        <v>95</v>
      </c>
      <c r="B33" s="337"/>
      <c r="C33" s="66">
        <f>C18+C32</f>
        <v>964542.4700000001</v>
      </c>
      <c r="D33" s="139">
        <f aca="true" t="shared" si="3" ref="D33:P33">D18+D32</f>
        <v>130854.41715760002</v>
      </c>
      <c r="E33" s="139">
        <f t="shared" si="3"/>
        <v>815231.26</v>
      </c>
      <c r="F33" s="139">
        <f t="shared" si="3"/>
        <v>141827.65</v>
      </c>
      <c r="G33" s="139">
        <f t="shared" si="3"/>
        <v>771397.2699999998</v>
      </c>
      <c r="H33" s="139">
        <f t="shared" si="3"/>
        <v>1044079.3371575999</v>
      </c>
      <c r="I33" s="139">
        <f t="shared" si="3"/>
        <v>65119.46400000001</v>
      </c>
      <c r="J33" s="139">
        <f t="shared" si="3"/>
        <v>107745.67679590499</v>
      </c>
      <c r="K33" s="139">
        <f>K18+K32</f>
        <v>544532.7827757412</v>
      </c>
      <c r="L33" s="139">
        <f t="shared" si="3"/>
        <v>131021.78299999998</v>
      </c>
      <c r="M33" s="139">
        <f t="shared" si="3"/>
        <v>84538.78480000001</v>
      </c>
      <c r="N33" s="139">
        <f t="shared" si="3"/>
        <v>817065.1138189422</v>
      </c>
      <c r="O33" s="139">
        <f t="shared" si="3"/>
        <v>156104.53333865773</v>
      </c>
      <c r="P33" s="139">
        <f t="shared" si="3"/>
        <v>-41685.3</v>
      </c>
      <c r="Q33" s="67"/>
      <c r="R33" s="67"/>
    </row>
    <row r="34" spans="1:18" ht="12.75">
      <c r="A34" s="8" t="s">
        <v>92</v>
      </c>
      <c r="B34" s="38"/>
      <c r="C34" s="13"/>
      <c r="D34" s="13"/>
      <c r="E34" s="14"/>
      <c r="F34" s="14"/>
      <c r="G34" s="14"/>
      <c r="H34" s="14"/>
      <c r="I34" s="14"/>
      <c r="J34" s="14"/>
      <c r="K34" s="14"/>
      <c r="L34" s="30"/>
      <c r="M34" s="65"/>
      <c r="N34" s="14"/>
      <c r="O34" s="14"/>
      <c r="P34" s="14"/>
      <c r="Q34" s="1"/>
      <c r="R34" s="1"/>
    </row>
    <row r="35" spans="1:18" ht="12.75">
      <c r="A35" s="11" t="s">
        <v>45</v>
      </c>
      <c r="B35" s="75">
        <f>Лист1!B28</f>
        <v>7427.1</v>
      </c>
      <c r="C35" s="26">
        <f aca="true" t="shared" si="4" ref="C35:C43">B35*8.65</f>
        <v>64244.41500000001</v>
      </c>
      <c r="D35" s="27">
        <f>Лист1!D28</f>
        <v>5998.235000000008</v>
      </c>
      <c r="E35" s="14">
        <f>Лист1!S28</f>
        <v>59224.06999999999</v>
      </c>
      <c r="F35" s="29">
        <f>Лист1!T28</f>
        <v>10275.58</v>
      </c>
      <c r="G35" s="28">
        <f>Лист1!AB28</f>
        <v>38087.6</v>
      </c>
      <c r="H35" s="29">
        <f>Лист1!AC28</f>
        <v>54361.41500000001</v>
      </c>
      <c r="I35" s="28">
        <f>Лист1!AG28</f>
        <v>4456.26</v>
      </c>
      <c r="J35" s="14">
        <f>Лист1!AI28+Лист1!AJ28</f>
        <v>7427.1</v>
      </c>
      <c r="K35" s="14">
        <v>37884.265951</v>
      </c>
      <c r="L35" s="30">
        <v>2022.72</v>
      </c>
      <c r="M35" s="30">
        <f>Лист1!AX28</f>
        <v>5759.599999999999</v>
      </c>
      <c r="N35" s="29">
        <f>Лист1!BB28</f>
        <v>57531.225951</v>
      </c>
      <c r="O35" s="70">
        <f>Лист1!BD28</f>
        <v>-3169.810950999992</v>
      </c>
      <c r="P35" s="70">
        <f>Лист1!BE28</f>
        <v>-21136.469999999994</v>
      </c>
      <c r="Q35" s="1"/>
      <c r="R35" s="1"/>
    </row>
    <row r="36" spans="1:18" ht="12.75">
      <c r="A36" s="11" t="s">
        <v>46</v>
      </c>
      <c r="B36" s="75">
        <f>Лист1!B29</f>
        <v>7427.1</v>
      </c>
      <c r="C36" s="26">
        <f t="shared" si="4"/>
        <v>64244.41500000001</v>
      </c>
      <c r="D36" s="27">
        <f>Лист1!D29</f>
        <v>5980.335000000005</v>
      </c>
      <c r="E36" s="14">
        <f>Лист1!S29</f>
        <v>57427.36</v>
      </c>
      <c r="F36" s="29">
        <f>Лист1!T29</f>
        <v>10139.5</v>
      </c>
      <c r="G36" s="28">
        <f>Лист1!AB29</f>
        <v>58922.590000000004</v>
      </c>
      <c r="H36" s="29">
        <f>Лист1!AC29</f>
        <v>75042.425</v>
      </c>
      <c r="I36" s="28">
        <f>Лист1!AG29</f>
        <v>4456.26</v>
      </c>
      <c r="J36" s="14">
        <f>Лист1!AI29+Лист1!AJ29</f>
        <v>7427.1</v>
      </c>
      <c r="K36" s="14">
        <v>37885.052932000006</v>
      </c>
      <c r="L36" s="30">
        <v>19729</v>
      </c>
      <c r="M36" s="30">
        <f>Лист1!AX29</f>
        <v>5429.2</v>
      </c>
      <c r="N36" s="29">
        <f>Лист1!BB29</f>
        <v>74926.612932</v>
      </c>
      <c r="O36" s="70">
        <f>Лист1!BD29</f>
        <v>115.81206799999927</v>
      </c>
      <c r="P36" s="70">
        <f>Лист1!BE29</f>
        <v>1495.2300000000032</v>
      </c>
      <c r="Q36" s="1"/>
      <c r="R36" s="1"/>
    </row>
    <row r="37" spans="1:18" ht="12.75">
      <c r="A37" s="11" t="s">
        <v>47</v>
      </c>
      <c r="B37" s="75">
        <f>Лист1!B30</f>
        <v>7427.1</v>
      </c>
      <c r="C37" s="26">
        <f t="shared" si="4"/>
        <v>64244.41500000001</v>
      </c>
      <c r="D37" s="27">
        <f>Лист1!D30</f>
        <v>5964.155000000003</v>
      </c>
      <c r="E37" s="14">
        <f>Лист1!S30</f>
        <v>58655.41</v>
      </c>
      <c r="F37" s="29">
        <f>Лист1!T30</f>
        <v>10556.14</v>
      </c>
      <c r="G37" s="28">
        <f>Лист1!AB30</f>
        <v>77221.48000000001</v>
      </c>
      <c r="H37" s="29">
        <f>Лист1!AC30</f>
        <v>93741.77500000001</v>
      </c>
      <c r="I37" s="28">
        <f>Лист1!AG30</f>
        <v>4456.26</v>
      </c>
      <c r="J37" s="14">
        <f>Лист1!AI30+Лист1!AJ30</f>
        <v>7427.1</v>
      </c>
      <c r="K37" s="14">
        <v>54322.972932000004</v>
      </c>
      <c r="L37" s="30">
        <v>9979</v>
      </c>
      <c r="M37" s="30">
        <f>Лист1!AX30</f>
        <v>5391.4</v>
      </c>
      <c r="N37" s="29">
        <f>Лист1!BB30</f>
        <v>81576.732932</v>
      </c>
      <c r="O37" s="70">
        <f>Лист1!BD30</f>
        <v>12165.04206800001</v>
      </c>
      <c r="P37" s="70">
        <f>Лист1!BE30</f>
        <v>18566.070000000007</v>
      </c>
      <c r="Q37" s="1"/>
      <c r="R37" s="1"/>
    </row>
    <row r="38" spans="1:18" ht="12.75">
      <c r="A38" s="11" t="s">
        <v>48</v>
      </c>
      <c r="B38" s="75">
        <f>Лист1!B31</f>
        <v>7427.1</v>
      </c>
      <c r="C38" s="26">
        <f t="shared" si="4"/>
        <v>64244.41500000001</v>
      </c>
      <c r="D38" s="27">
        <f>Лист1!D31</f>
        <v>5944.035000000009</v>
      </c>
      <c r="E38" s="14">
        <f>Лист1!S31</f>
        <v>58564.329999999994</v>
      </c>
      <c r="F38" s="29">
        <f>Лист1!T31</f>
        <v>10712.1</v>
      </c>
      <c r="G38" s="28">
        <f>Лист1!AB31</f>
        <v>53773.56</v>
      </c>
      <c r="H38" s="29">
        <f>Лист1!AC31</f>
        <v>70429.695</v>
      </c>
      <c r="I38" s="28">
        <f>Лист1!AG31</f>
        <v>4456.26</v>
      </c>
      <c r="J38" s="14">
        <f>Лист1!AI31+Лист1!AJ31</f>
        <v>7427.1</v>
      </c>
      <c r="K38" s="14">
        <v>37885.052932000006</v>
      </c>
      <c r="L38" s="30">
        <v>9896</v>
      </c>
      <c r="M38" s="30">
        <f>Лист1!AX31</f>
        <v>6378.4</v>
      </c>
      <c r="N38" s="29">
        <f>Лист1!BB31</f>
        <v>65952.812932</v>
      </c>
      <c r="O38" s="70">
        <f>Лист1!BD31</f>
        <v>4476.882068000006</v>
      </c>
      <c r="P38" s="70">
        <f>Лист1!BD31</f>
        <v>4476.882068000006</v>
      </c>
      <c r="Q38" s="1"/>
      <c r="R38" s="1"/>
    </row>
    <row r="39" spans="1:18" ht="12.75">
      <c r="A39" s="11" t="s">
        <v>49</v>
      </c>
      <c r="B39" s="75">
        <f>Лист1!B32</f>
        <v>7445.1</v>
      </c>
      <c r="C39" s="26">
        <f t="shared" si="4"/>
        <v>64400.115000000005</v>
      </c>
      <c r="D39" s="27">
        <f>Лист1!D32</f>
        <v>5979.275000000004</v>
      </c>
      <c r="E39" s="14">
        <f>Лист1!S32</f>
        <v>58773.03999999999</v>
      </c>
      <c r="F39" s="29">
        <f>Лист1!T32</f>
        <v>10663.63</v>
      </c>
      <c r="G39" s="28">
        <f>Лист1!AB32</f>
        <v>59452.91</v>
      </c>
      <c r="H39" s="29">
        <f>Лист1!AC32</f>
        <v>76095.815</v>
      </c>
      <c r="I39" s="28">
        <f>Лист1!AG32</f>
        <v>4467.06</v>
      </c>
      <c r="J39" s="14">
        <f>Лист1!AI32+Лист1!AJ32</f>
        <v>7445.1</v>
      </c>
      <c r="K39" s="14">
        <v>37964.07785263537</v>
      </c>
      <c r="L39" s="30">
        <v>4949</v>
      </c>
      <c r="M39" s="30">
        <f>Лист1!AX32</f>
        <v>6143.2</v>
      </c>
      <c r="N39" s="29">
        <f>Лист1!BB32</f>
        <v>60968.413</v>
      </c>
      <c r="O39" s="70">
        <f>Лист1!BD32</f>
        <v>15127.402000000002</v>
      </c>
      <c r="P39" s="70">
        <f>Лист1!BE32</f>
        <v>679.8700000000099</v>
      </c>
      <c r="Q39" s="1"/>
      <c r="R39" s="1"/>
    </row>
    <row r="40" spans="1:18" ht="12.75">
      <c r="A40" s="11" t="s">
        <v>50</v>
      </c>
      <c r="B40" s="75">
        <f>Лист1!B33</f>
        <v>7445.1</v>
      </c>
      <c r="C40" s="26">
        <f t="shared" si="4"/>
        <v>64400.115000000005</v>
      </c>
      <c r="D40" s="27">
        <f>Лист1!D33</f>
        <v>5996.515000000011</v>
      </c>
      <c r="E40" s="14">
        <f>Лист1!S33</f>
        <v>58560.020000000004</v>
      </c>
      <c r="F40" s="29">
        <f>Лист1!T33</f>
        <v>10663.630000000001</v>
      </c>
      <c r="G40" s="28">
        <f>Лист1!AB33</f>
        <v>47366.69</v>
      </c>
      <c r="H40" s="29">
        <f>Лист1!AC33</f>
        <v>64026.835000000014</v>
      </c>
      <c r="I40" s="28">
        <f>Лист1!AG33</f>
        <v>4467.06</v>
      </c>
      <c r="J40" s="14">
        <f>Лист1!AI33+Лист1!AJ33</f>
        <v>7445.1</v>
      </c>
      <c r="K40" s="14">
        <v>38365.073000000004</v>
      </c>
      <c r="L40" s="30">
        <v>11919.1986</v>
      </c>
      <c r="M40" s="30">
        <f>Лист1!AX33</f>
        <v>5391.4</v>
      </c>
      <c r="N40" s="29">
        <f>Лист1!BB33</f>
        <v>67449.903</v>
      </c>
      <c r="O40" s="70">
        <f>Лист1!BD33</f>
        <v>-3423.067999999992</v>
      </c>
      <c r="P40" s="70">
        <f>Лист1!BE33</f>
        <v>-11193.330000000002</v>
      </c>
      <c r="Q40" s="1"/>
      <c r="R40" s="1"/>
    </row>
    <row r="41" spans="1:18" ht="12.75">
      <c r="A41" s="11" t="s">
        <v>51</v>
      </c>
      <c r="B41" s="75">
        <f>Лист1!B34</f>
        <v>7445.1</v>
      </c>
      <c r="C41" s="26">
        <f t="shared" si="4"/>
        <v>64400.115000000005</v>
      </c>
      <c r="D41" s="27">
        <f>Лист1!D34</f>
        <v>5953.1650000000045</v>
      </c>
      <c r="E41" s="14">
        <f>Лист1!S34</f>
        <v>69598.53</v>
      </c>
      <c r="F41" s="29">
        <f>Лист1!T34</f>
        <v>0</v>
      </c>
      <c r="G41" s="28">
        <f>Лист1!AB34</f>
        <v>66388.24</v>
      </c>
      <c r="H41" s="29">
        <f>Лист1!AC34</f>
        <v>72341.40500000001</v>
      </c>
      <c r="I41" s="28">
        <f>Лист1!AG34</f>
        <v>4467.06</v>
      </c>
      <c r="J41" s="14">
        <f>Лист1!AI34+Лист1!AJ34</f>
        <v>7445.1</v>
      </c>
      <c r="K41" s="14">
        <v>38599.828</v>
      </c>
      <c r="L41" s="30">
        <v>0</v>
      </c>
      <c r="M41" s="30">
        <f>Лист1!AX34</f>
        <v>6220.2</v>
      </c>
      <c r="N41" s="29">
        <f>Лист1!BB34</f>
        <v>56732.183</v>
      </c>
      <c r="O41" s="70">
        <f>Лист1!BD34</f>
        <v>15609.222000000016</v>
      </c>
      <c r="P41" s="70">
        <f>Лист1!BE34</f>
        <v>-3210.2899999999936</v>
      </c>
      <c r="Q41" s="1"/>
      <c r="R41" s="1"/>
    </row>
    <row r="42" spans="1:18" ht="12.75">
      <c r="A42" s="11" t="s">
        <v>52</v>
      </c>
      <c r="B42" s="75">
        <f>Лист1!B35</f>
        <v>7445.1</v>
      </c>
      <c r="C42" s="26">
        <f t="shared" si="4"/>
        <v>64400.115000000005</v>
      </c>
      <c r="D42" s="27">
        <f>Лист1!D35</f>
        <v>156460.575</v>
      </c>
      <c r="E42" s="14">
        <f>Лист1!S35</f>
        <v>69009.57999999999</v>
      </c>
      <c r="F42" s="29">
        <f>Лист1!T35</f>
        <v>0</v>
      </c>
      <c r="G42" s="28">
        <f>Лист1!AB35</f>
        <v>62927.5</v>
      </c>
      <c r="H42" s="29">
        <f>Лист1!AC35</f>
        <v>219388.075</v>
      </c>
      <c r="I42" s="28">
        <f>Лист1!AG35</f>
        <v>4467.06</v>
      </c>
      <c r="J42" s="14">
        <f>Лист1!AI35+Лист1!AJ35</f>
        <v>7445.1</v>
      </c>
      <c r="K42" s="14">
        <v>88349.828</v>
      </c>
      <c r="L42" s="30">
        <v>23813.523999999998</v>
      </c>
      <c r="M42" s="30">
        <f>Лист1!AX35</f>
        <v>5285</v>
      </c>
      <c r="N42" s="29">
        <f>Лист1!BB35</f>
        <v>129223.02300000002</v>
      </c>
      <c r="O42" s="70">
        <f>Лист1!BD35</f>
        <v>90165.052</v>
      </c>
      <c r="P42" s="70">
        <f>Лист1!BE35</f>
        <v>-6082.079999999987</v>
      </c>
      <c r="Q42" s="1"/>
      <c r="R42" s="1"/>
    </row>
    <row r="43" spans="1:18" ht="12.75">
      <c r="A43" s="11" t="s">
        <v>53</v>
      </c>
      <c r="B43" s="75">
        <f>Лист1!B36</f>
        <v>7445.1</v>
      </c>
      <c r="C43" s="26">
        <f t="shared" si="4"/>
        <v>64400.115000000005</v>
      </c>
      <c r="D43" s="27">
        <f>Лист1!D36</f>
        <v>5939.595000000007</v>
      </c>
      <c r="E43" s="14">
        <f>Лист1!S36</f>
        <v>69378.83</v>
      </c>
      <c r="F43" s="29">
        <f>Лист1!T36</f>
        <v>0</v>
      </c>
      <c r="G43" s="28">
        <f>Лист1!AB36</f>
        <v>57535.72</v>
      </c>
      <c r="H43" s="29">
        <f>Лист1!AC36</f>
        <v>63475.31500000001</v>
      </c>
      <c r="I43" s="28">
        <f>Лист1!AG36</f>
        <v>4467.06</v>
      </c>
      <c r="J43" s="14">
        <f>Лист1!AI36+Лист1!AJ36</f>
        <v>7445.1</v>
      </c>
      <c r="K43" s="14">
        <v>38599.828</v>
      </c>
      <c r="L43" s="30">
        <v>4987</v>
      </c>
      <c r="M43" s="30">
        <f>Лист1!AX36</f>
        <v>6763.4</v>
      </c>
      <c r="N43" s="29">
        <f>Лист1!BB36</f>
        <v>62262.383</v>
      </c>
      <c r="O43" s="70">
        <f>Лист1!BD36</f>
        <v>1212.932000000008</v>
      </c>
      <c r="P43" s="70">
        <f>Лист1!BE36</f>
        <v>-11843.11</v>
      </c>
      <c r="Q43" s="1"/>
      <c r="R43" s="1"/>
    </row>
    <row r="44" spans="1:18" ht="12.75">
      <c r="A44" s="11" t="s">
        <v>41</v>
      </c>
      <c r="B44" s="75">
        <f>Лист1!B37</f>
        <v>7445.1</v>
      </c>
      <c r="C44" s="26">
        <f>B44*8.65</f>
        <v>64400.115000000005</v>
      </c>
      <c r="D44" s="27">
        <f>Лист1!D37</f>
        <v>5844.075000000004</v>
      </c>
      <c r="E44" s="14">
        <f>Лист1!S37</f>
        <v>69521</v>
      </c>
      <c r="F44" s="29">
        <f>Лист1!T37</f>
        <v>0</v>
      </c>
      <c r="G44" s="28">
        <f>Лист1!AB37</f>
        <v>67726.71999999999</v>
      </c>
      <c r="H44" s="29">
        <f>Лист1!AC37</f>
        <v>73570.79499999998</v>
      </c>
      <c r="I44" s="28">
        <f>Лист1!AG37</f>
        <v>4467.06</v>
      </c>
      <c r="J44" s="14">
        <f>Лист1!AI37+Лист1!AJ37</f>
        <v>7445.1</v>
      </c>
      <c r="K44" s="14">
        <v>37965.443</v>
      </c>
      <c r="L44" s="30">
        <v>53251</v>
      </c>
      <c r="M44" s="30">
        <f>Лист1!AX37</f>
        <v>5738.599999999999</v>
      </c>
      <c r="N44" s="29">
        <f>Лист1!BB37</f>
        <v>109275.20300000001</v>
      </c>
      <c r="O44" s="70">
        <f>Лист1!BD37</f>
        <v>-35591.908000000025</v>
      </c>
      <c r="P44" s="70">
        <f>Лист1!BE37</f>
        <v>-1794.2800000000134</v>
      </c>
      <c r="Q44" s="1"/>
      <c r="R44" s="1"/>
    </row>
    <row r="45" spans="1:18" ht="12.75">
      <c r="A45" s="11" t="s">
        <v>42</v>
      </c>
      <c r="B45" s="75">
        <f>Лист1!B38</f>
        <v>7445.1</v>
      </c>
      <c r="C45" s="26">
        <f>B45*8.65</f>
        <v>64400.115000000005</v>
      </c>
      <c r="D45" s="27">
        <f>Лист1!D38</f>
        <v>5951.065000000001</v>
      </c>
      <c r="E45" s="14">
        <f>Лист1!S38</f>
        <v>69202.51000000001</v>
      </c>
      <c r="F45" s="29">
        <f>Лист1!T38</f>
        <v>0</v>
      </c>
      <c r="G45" s="28">
        <f>Лист1!AB38</f>
        <v>66974.5</v>
      </c>
      <c r="H45" s="29">
        <f>Лист1!AC38</f>
        <v>72925.565</v>
      </c>
      <c r="I45" s="28">
        <f>Лист1!AG38</f>
        <v>4467.06</v>
      </c>
      <c r="J45" s="14">
        <f>Лист1!AI38+Лист1!AJ38</f>
        <v>7445.1</v>
      </c>
      <c r="K45" s="14">
        <v>37965.653000000006</v>
      </c>
      <c r="L45" s="30">
        <v>10828</v>
      </c>
      <c r="M45" s="30">
        <f>Лист1!AX38</f>
        <v>5950</v>
      </c>
      <c r="N45" s="29">
        <f>Лист1!BB38</f>
        <v>66655.813</v>
      </c>
      <c r="O45" s="70">
        <f>Лист1!BD38</f>
        <v>6382.252000000008</v>
      </c>
      <c r="P45" s="70">
        <f>Лист1!BE38</f>
        <v>-2228.0100000000093</v>
      </c>
      <c r="Q45" s="1"/>
      <c r="R45" s="1"/>
    </row>
    <row r="46" spans="1:18" ht="13.5" thickBot="1">
      <c r="A46" s="31" t="s">
        <v>43</v>
      </c>
      <c r="B46" s="75">
        <f>Лист1!B39</f>
        <v>7445.1</v>
      </c>
      <c r="C46" s="32">
        <f>B46*8.65</f>
        <v>64400.115000000005</v>
      </c>
      <c r="D46" s="27">
        <f>Лист1!D39</f>
        <v>5832.675000000007</v>
      </c>
      <c r="E46" s="14">
        <f>Лист1!S39</f>
        <v>69134.67</v>
      </c>
      <c r="F46" s="29">
        <f>Лист1!T39</f>
        <v>0</v>
      </c>
      <c r="G46" s="28">
        <f>Лист1!AB39</f>
        <v>91741.72</v>
      </c>
      <c r="H46" s="29">
        <f>Лист1!AC39</f>
        <v>97574.395</v>
      </c>
      <c r="I46" s="28">
        <f>Лист1!AG39</f>
        <v>4467.06</v>
      </c>
      <c r="J46" s="14">
        <f>Лист1!AI39+Лист1!AJ39</f>
        <v>7445.1</v>
      </c>
      <c r="K46" s="14">
        <v>37950.273</v>
      </c>
      <c r="L46" s="30">
        <v>77601.04000000001</v>
      </c>
      <c r="M46" s="30">
        <f>Лист1!AX39</f>
        <v>7620.749999999999</v>
      </c>
      <c r="N46" s="29">
        <f>Лист1!BB39</f>
        <v>280832.58223829255</v>
      </c>
      <c r="O46" s="70">
        <f>Лист1!BD39</f>
        <v>-183145.68723829254</v>
      </c>
      <c r="P46" s="70">
        <f>Лист1!BE39</f>
        <v>22607.050000000003</v>
      </c>
      <c r="Q46" s="1"/>
      <c r="R46" s="1"/>
    </row>
    <row r="47" spans="1:18" s="20" customFormat="1" ht="13.5" thickBot="1">
      <c r="A47" s="33" t="s">
        <v>5</v>
      </c>
      <c r="B47" s="34"/>
      <c r="C47" s="35">
        <f aca="true" t="shared" si="5" ref="C47:J47">SUM(C35:C46)</f>
        <v>772178.58</v>
      </c>
      <c r="D47" s="63">
        <f t="shared" si="5"/>
        <v>221843.70000000007</v>
      </c>
      <c r="E47" s="35">
        <f t="shared" si="5"/>
        <v>767049.35</v>
      </c>
      <c r="F47" s="64">
        <f t="shared" si="5"/>
        <v>63010.58</v>
      </c>
      <c r="G47" s="63">
        <f t="shared" si="5"/>
        <v>748119.23</v>
      </c>
      <c r="H47" s="64">
        <f t="shared" si="5"/>
        <v>1032973.5100000002</v>
      </c>
      <c r="I47" s="63">
        <f t="shared" si="5"/>
        <v>53561.52</v>
      </c>
      <c r="J47" s="35">
        <f t="shared" si="5"/>
        <v>89269.20000000001</v>
      </c>
      <c r="K47" s="35">
        <f aca="true" t="shared" si="6" ref="K47:P47">SUM(K35:K46)</f>
        <v>523737.3485996353</v>
      </c>
      <c r="L47" s="35">
        <f t="shared" si="6"/>
        <v>228975.48260000002</v>
      </c>
      <c r="M47" s="35">
        <f t="shared" si="6"/>
        <v>72071.15</v>
      </c>
      <c r="N47" s="64">
        <f t="shared" si="6"/>
        <v>1113386.8879852926</v>
      </c>
      <c r="O47" s="71">
        <f t="shared" si="6"/>
        <v>-80075.87798529249</v>
      </c>
      <c r="P47" s="71">
        <f t="shared" si="6"/>
        <v>-9662.46793199997</v>
      </c>
      <c r="Q47" s="67"/>
      <c r="R47" s="67"/>
    </row>
    <row r="48" spans="1:18" ht="13.5" thickBot="1">
      <c r="A48" s="319" t="s">
        <v>69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73"/>
      <c r="Q48" s="1"/>
      <c r="R48" s="1"/>
    </row>
    <row r="49" spans="1:18" s="20" customFormat="1" ht="13.5" thickBot="1">
      <c r="A49" s="74" t="s">
        <v>54</v>
      </c>
      <c r="B49" s="36"/>
      <c r="C49" s="37">
        <f>C18+C32+C47</f>
        <v>1736721.05</v>
      </c>
      <c r="D49" s="37">
        <f aca="true" t="shared" si="7" ref="D49:P49">D18+D32+D47</f>
        <v>352698.1171576001</v>
      </c>
      <c r="E49" s="37">
        <f t="shared" si="7"/>
        <v>1582280.6099999999</v>
      </c>
      <c r="F49" s="37">
        <f t="shared" si="7"/>
        <v>204838.22999999998</v>
      </c>
      <c r="G49" s="37">
        <f t="shared" si="7"/>
        <v>1519516.4999999998</v>
      </c>
      <c r="H49" s="37">
        <f t="shared" si="7"/>
        <v>2077052.8471576</v>
      </c>
      <c r="I49" s="37">
        <f>I18+I32+I47</f>
        <v>118680.984</v>
      </c>
      <c r="J49" s="37">
        <f t="shared" si="7"/>
        <v>197014.876795905</v>
      </c>
      <c r="K49" s="37">
        <f t="shared" si="7"/>
        <v>1068270.1313753766</v>
      </c>
      <c r="L49" s="37">
        <f t="shared" si="7"/>
        <v>359997.2656</v>
      </c>
      <c r="M49" s="37">
        <f t="shared" si="7"/>
        <v>156609.9348</v>
      </c>
      <c r="N49" s="37">
        <f t="shared" si="7"/>
        <v>1930452.001804235</v>
      </c>
      <c r="O49" s="37">
        <f t="shared" si="7"/>
        <v>76028.65535336523</v>
      </c>
      <c r="P49" s="37">
        <f t="shared" si="7"/>
        <v>-51347.76793199997</v>
      </c>
      <c r="Q49" s="68"/>
      <c r="R49" s="67"/>
    </row>
    <row r="50" spans="17:18" ht="12.75">
      <c r="Q50" s="1"/>
      <c r="R50" s="1"/>
    </row>
    <row r="51" spans="1:18" ht="12.75">
      <c r="A51" s="20" t="s">
        <v>70</v>
      </c>
      <c r="D51" s="76" t="s">
        <v>94</v>
      </c>
      <c r="Q51" s="1"/>
      <c r="R51" s="1"/>
    </row>
    <row r="52" spans="1:18" ht="12.75">
      <c r="A52" s="21" t="s">
        <v>71</v>
      </c>
      <c r="B52" s="21" t="s">
        <v>72</v>
      </c>
      <c r="C52" s="321" t="s">
        <v>73</v>
      </c>
      <c r="D52" s="321"/>
      <c r="Q52" s="1"/>
      <c r="R52" s="1"/>
    </row>
    <row r="53" spans="1:18" ht="12.75">
      <c r="A53" s="108">
        <v>482370.81</v>
      </c>
      <c r="B53" s="115">
        <v>364447.9</v>
      </c>
      <c r="C53" s="317">
        <f>A53-B53</f>
        <v>117922.90999999997</v>
      </c>
      <c r="D53" s="318"/>
      <c r="Q53" s="1"/>
      <c r="R53" s="1"/>
    </row>
    <row r="54" spans="1:18" ht="12.75">
      <c r="A54" s="44"/>
      <c r="Q54" s="1"/>
      <c r="R54" s="1"/>
    </row>
    <row r="55" spans="1:18" ht="12.75">
      <c r="A55" s="2" t="s">
        <v>77</v>
      </c>
      <c r="G55" s="2" t="s">
        <v>78</v>
      </c>
      <c r="Q55" s="1"/>
      <c r="R55" s="1"/>
    </row>
    <row r="56" ht="12.75">
      <c r="A56" s="1"/>
    </row>
    <row r="57" ht="12.75">
      <c r="A57" s="1"/>
    </row>
    <row r="58" ht="12.75">
      <c r="A58" s="2" t="s">
        <v>88</v>
      </c>
    </row>
    <row r="59" ht="12.75">
      <c r="A59" s="2" t="s">
        <v>79</v>
      </c>
    </row>
  </sheetData>
  <sheetProtection/>
  <mergeCells count="28">
    <mergeCell ref="A48:O48"/>
    <mergeCell ref="C52:D52"/>
    <mergeCell ref="C53:D53"/>
    <mergeCell ref="I9:N10"/>
    <mergeCell ref="O9:O12"/>
    <mergeCell ref="A9:A12"/>
    <mergeCell ref="B9:B12"/>
    <mergeCell ref="C9:C12"/>
    <mergeCell ref="D9:D12"/>
    <mergeCell ref="E9:F10"/>
    <mergeCell ref="P9:P12"/>
    <mergeCell ref="E11:F11"/>
    <mergeCell ref="G11:G12"/>
    <mergeCell ref="H11:H12"/>
    <mergeCell ref="I11:I12"/>
    <mergeCell ref="J11:J12"/>
    <mergeCell ref="K11:K12"/>
    <mergeCell ref="L11:L12"/>
    <mergeCell ref="M11:M12"/>
    <mergeCell ref="N11:N12"/>
    <mergeCell ref="A33:B33"/>
    <mergeCell ref="G9:H10"/>
    <mergeCell ref="B1:H1"/>
    <mergeCell ref="B2:H2"/>
    <mergeCell ref="A5:O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8.75390625" style="145" bestFit="1" customWidth="1"/>
    <col min="2" max="2" width="10.125" style="145" customWidth="1"/>
    <col min="3" max="3" width="11.375" style="145" customWidth="1"/>
    <col min="4" max="4" width="10.375" style="145" customWidth="1"/>
    <col min="5" max="5" width="10.125" style="145" bestFit="1" customWidth="1"/>
    <col min="6" max="6" width="9.125" style="145" customWidth="1"/>
    <col min="7" max="7" width="10.25390625" style="145" customWidth="1"/>
    <col min="8" max="8" width="9.125" style="145" customWidth="1"/>
    <col min="9" max="9" width="9.875" style="145" customWidth="1"/>
    <col min="10" max="10" width="9.125" style="145" customWidth="1"/>
    <col min="11" max="11" width="10.375" style="145" customWidth="1"/>
    <col min="12" max="12" width="9.125" style="145" customWidth="1"/>
    <col min="13" max="13" width="10.125" style="145" bestFit="1" customWidth="1"/>
    <col min="14" max="14" width="9.125" style="145" customWidth="1"/>
    <col min="15" max="15" width="10.125" style="145" bestFit="1" customWidth="1"/>
    <col min="16" max="16" width="9.125" style="145" customWidth="1"/>
    <col min="17" max="17" width="11.125" style="145" customWidth="1"/>
    <col min="18" max="18" width="9.125" style="145" customWidth="1"/>
    <col min="19" max="19" width="10.125" style="145" bestFit="1" customWidth="1"/>
    <col min="20" max="20" width="10.125" style="145" customWidth="1"/>
    <col min="21" max="21" width="11.75390625" style="145" bestFit="1" customWidth="1"/>
    <col min="22" max="22" width="10.25390625" style="145" customWidth="1"/>
    <col min="23" max="23" width="10.625" style="145" customWidth="1"/>
    <col min="24" max="24" width="10.125" style="145" customWidth="1"/>
    <col min="25" max="28" width="10.125" style="145" bestFit="1" customWidth="1"/>
    <col min="29" max="30" width="11.375" style="145" customWidth="1"/>
    <col min="31" max="31" width="9.25390625" style="145" bestFit="1" customWidth="1"/>
    <col min="32" max="32" width="11.75390625" style="145" bestFit="1" customWidth="1"/>
    <col min="33" max="33" width="13.625" style="145" customWidth="1"/>
    <col min="34" max="34" width="9.25390625" style="145" bestFit="1" customWidth="1"/>
    <col min="35" max="35" width="11.625" style="145" customWidth="1"/>
    <col min="36" max="36" width="15.75390625" style="145" customWidth="1"/>
    <col min="37" max="37" width="10.125" style="145" bestFit="1" customWidth="1"/>
    <col min="38" max="38" width="9.25390625" style="145" bestFit="1" customWidth="1"/>
    <col min="39" max="39" width="10.125" style="145" bestFit="1" customWidth="1"/>
    <col min="40" max="40" width="9.25390625" style="145" bestFit="1" customWidth="1"/>
    <col min="41" max="42" width="10.125" style="145" bestFit="1" customWidth="1"/>
    <col min="43" max="44" width="9.25390625" style="145" customWidth="1"/>
    <col min="45" max="45" width="10.125" style="145" bestFit="1" customWidth="1"/>
    <col min="46" max="46" width="11.625" style="145" customWidth="1"/>
    <col min="47" max="47" width="10.875" style="145" customWidth="1"/>
    <col min="48" max="48" width="10.625" style="145" customWidth="1"/>
    <col min="49" max="49" width="10.25390625" style="145" customWidth="1"/>
    <col min="50" max="50" width="10.625" style="145" customWidth="1"/>
    <col min="51" max="53" width="10.125" style="145" bestFit="1" customWidth="1"/>
    <col min="54" max="54" width="11.625" style="145" customWidth="1"/>
    <col min="55" max="55" width="11.75390625" style="145" customWidth="1"/>
    <col min="56" max="56" width="11.375" style="145" customWidth="1"/>
    <col min="57" max="57" width="14.00390625" style="145" customWidth="1"/>
    <col min="58" max="58" width="12.75390625" style="145" customWidth="1"/>
    <col min="59" max="59" width="17.00390625" style="145" customWidth="1"/>
    <col min="60" max="16384" width="9.125" style="145" customWidth="1"/>
  </cols>
  <sheetData>
    <row r="1" spans="1:18" ht="21" customHeight="1">
      <c r="A1" s="244" t="s">
        <v>105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46"/>
      <c r="P1" s="146"/>
      <c r="Q1" s="146"/>
      <c r="R1" s="146"/>
    </row>
    <row r="2" spans="1:18" ht="13.5" thickBot="1">
      <c r="A2" s="146"/>
      <c r="B2" s="171"/>
      <c r="C2" s="172"/>
      <c r="D2" s="172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59" ht="29.25" customHeight="1" thickBot="1">
      <c r="A3" s="338" t="s">
        <v>0</v>
      </c>
      <c r="B3" s="340" t="s">
        <v>1</v>
      </c>
      <c r="C3" s="342" t="s">
        <v>2</v>
      </c>
      <c r="D3" s="344" t="s">
        <v>3</v>
      </c>
      <c r="E3" s="338" t="s">
        <v>106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12"/>
      <c r="S3" s="338"/>
      <c r="T3" s="346"/>
      <c r="U3" s="338" t="s">
        <v>5</v>
      </c>
      <c r="V3" s="346"/>
      <c r="W3" s="348" t="s">
        <v>6</v>
      </c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50"/>
      <c r="AJ3" s="354" t="s">
        <v>74</v>
      </c>
      <c r="AK3" s="357" t="s">
        <v>10</v>
      </c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9"/>
      <c r="BF3" s="363" t="s">
        <v>11</v>
      </c>
      <c r="BG3" s="380" t="s">
        <v>12</v>
      </c>
    </row>
    <row r="4" spans="1:59" ht="51.75" customHeight="1" hidden="1" thickBot="1">
      <c r="A4" s="339"/>
      <c r="B4" s="341"/>
      <c r="C4" s="343"/>
      <c r="D4" s="345"/>
      <c r="E4" s="339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04"/>
      <c r="S4" s="374"/>
      <c r="T4" s="375"/>
      <c r="U4" s="374"/>
      <c r="V4" s="375"/>
      <c r="W4" s="351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3"/>
      <c r="AJ4" s="355"/>
      <c r="AK4" s="360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2"/>
      <c r="BF4" s="364"/>
      <c r="BG4" s="381"/>
    </row>
    <row r="5" spans="1:59" ht="19.5" customHeight="1">
      <c r="A5" s="339"/>
      <c r="B5" s="341"/>
      <c r="C5" s="343"/>
      <c r="D5" s="345"/>
      <c r="E5" s="383" t="s">
        <v>13</v>
      </c>
      <c r="F5" s="369"/>
      <c r="G5" s="383" t="s">
        <v>107</v>
      </c>
      <c r="H5" s="369"/>
      <c r="I5" s="383" t="s">
        <v>14</v>
      </c>
      <c r="J5" s="369"/>
      <c r="K5" s="383" t="s">
        <v>16</v>
      </c>
      <c r="L5" s="369"/>
      <c r="M5" s="383" t="s">
        <v>15</v>
      </c>
      <c r="N5" s="369"/>
      <c r="O5" s="368" t="s">
        <v>17</v>
      </c>
      <c r="P5" s="368"/>
      <c r="Q5" s="383" t="s">
        <v>108</v>
      </c>
      <c r="R5" s="369"/>
      <c r="S5" s="368" t="s">
        <v>109</v>
      </c>
      <c r="T5" s="369"/>
      <c r="U5" s="372" t="s">
        <v>20</v>
      </c>
      <c r="V5" s="376" t="s">
        <v>21</v>
      </c>
      <c r="W5" s="366" t="s">
        <v>22</v>
      </c>
      <c r="X5" s="366" t="s">
        <v>110</v>
      </c>
      <c r="Y5" s="366" t="s">
        <v>23</v>
      </c>
      <c r="Z5" s="366" t="s">
        <v>25</v>
      </c>
      <c r="AA5" s="366" t="s">
        <v>24</v>
      </c>
      <c r="AB5" s="366" t="s">
        <v>26</v>
      </c>
      <c r="AC5" s="366" t="s">
        <v>27</v>
      </c>
      <c r="AD5" s="378" t="s">
        <v>28</v>
      </c>
      <c r="AE5" s="378" t="s">
        <v>111</v>
      </c>
      <c r="AF5" s="388" t="s">
        <v>29</v>
      </c>
      <c r="AG5" s="390" t="s">
        <v>87</v>
      </c>
      <c r="AH5" s="392" t="s">
        <v>8</v>
      </c>
      <c r="AI5" s="394" t="s">
        <v>9</v>
      </c>
      <c r="AJ5" s="355"/>
      <c r="AK5" s="396" t="s">
        <v>112</v>
      </c>
      <c r="AL5" s="398" t="s">
        <v>113</v>
      </c>
      <c r="AM5" s="398" t="s">
        <v>114</v>
      </c>
      <c r="AN5" s="386" t="s">
        <v>115</v>
      </c>
      <c r="AO5" s="398" t="s">
        <v>116</v>
      </c>
      <c r="AP5" s="386" t="s">
        <v>117</v>
      </c>
      <c r="AQ5" s="386" t="s">
        <v>118</v>
      </c>
      <c r="AR5" s="386" t="s">
        <v>119</v>
      </c>
      <c r="AS5" s="386" t="s">
        <v>120</v>
      </c>
      <c r="AT5" s="386" t="s">
        <v>36</v>
      </c>
      <c r="AU5" s="258" t="s">
        <v>121</v>
      </c>
      <c r="AV5" s="286" t="s">
        <v>122</v>
      </c>
      <c r="AW5" s="258" t="s">
        <v>123</v>
      </c>
      <c r="AX5" s="279" t="s">
        <v>124</v>
      </c>
      <c r="AY5" s="141"/>
      <c r="AZ5" s="402" t="s">
        <v>19</v>
      </c>
      <c r="BA5" s="386" t="s">
        <v>38</v>
      </c>
      <c r="BB5" s="386" t="s">
        <v>33</v>
      </c>
      <c r="BC5" s="404" t="s">
        <v>39</v>
      </c>
      <c r="BD5" s="400" t="s">
        <v>75</v>
      </c>
      <c r="BE5" s="386" t="s">
        <v>125</v>
      </c>
      <c r="BF5" s="364"/>
      <c r="BG5" s="381"/>
    </row>
    <row r="6" spans="1:59" ht="56.25" customHeight="1" thickBot="1">
      <c r="A6" s="339"/>
      <c r="B6" s="341"/>
      <c r="C6" s="343"/>
      <c r="D6" s="345"/>
      <c r="E6" s="384"/>
      <c r="F6" s="371"/>
      <c r="G6" s="384"/>
      <c r="H6" s="371"/>
      <c r="I6" s="384"/>
      <c r="J6" s="371"/>
      <c r="K6" s="384"/>
      <c r="L6" s="371"/>
      <c r="M6" s="384"/>
      <c r="N6" s="371"/>
      <c r="O6" s="385"/>
      <c r="P6" s="385"/>
      <c r="Q6" s="384"/>
      <c r="R6" s="371"/>
      <c r="S6" s="370"/>
      <c r="T6" s="371"/>
      <c r="U6" s="373"/>
      <c r="V6" s="377"/>
      <c r="W6" s="367"/>
      <c r="X6" s="367"/>
      <c r="Y6" s="367"/>
      <c r="Z6" s="367"/>
      <c r="AA6" s="367"/>
      <c r="AB6" s="367"/>
      <c r="AC6" s="367"/>
      <c r="AD6" s="379"/>
      <c r="AE6" s="379"/>
      <c r="AF6" s="389"/>
      <c r="AG6" s="391"/>
      <c r="AH6" s="393"/>
      <c r="AI6" s="395"/>
      <c r="AJ6" s="356"/>
      <c r="AK6" s="397"/>
      <c r="AL6" s="399"/>
      <c r="AM6" s="399"/>
      <c r="AN6" s="387"/>
      <c r="AO6" s="399"/>
      <c r="AP6" s="387"/>
      <c r="AQ6" s="387"/>
      <c r="AR6" s="387"/>
      <c r="AS6" s="387"/>
      <c r="AT6" s="387"/>
      <c r="AU6" s="259"/>
      <c r="AV6" s="287"/>
      <c r="AW6" s="259"/>
      <c r="AX6" s="280"/>
      <c r="AY6" s="142" t="s">
        <v>126</v>
      </c>
      <c r="AZ6" s="403"/>
      <c r="BA6" s="387"/>
      <c r="BB6" s="387"/>
      <c r="BC6" s="405"/>
      <c r="BD6" s="401"/>
      <c r="BE6" s="387"/>
      <c r="BF6" s="365"/>
      <c r="BG6" s="382"/>
    </row>
    <row r="7" spans="1:59" ht="19.5" customHeight="1" thickBot="1">
      <c r="A7" s="148">
        <v>1</v>
      </c>
      <c r="B7" s="150">
        <v>2</v>
      </c>
      <c r="C7" s="150">
        <v>3</v>
      </c>
      <c r="D7" s="148">
        <v>4</v>
      </c>
      <c r="E7" s="150">
        <v>5</v>
      </c>
      <c r="F7" s="150">
        <v>6</v>
      </c>
      <c r="G7" s="148">
        <v>7</v>
      </c>
      <c r="H7" s="150">
        <v>8</v>
      </c>
      <c r="I7" s="150">
        <v>9</v>
      </c>
      <c r="J7" s="148">
        <v>10</v>
      </c>
      <c r="K7" s="150">
        <v>11</v>
      </c>
      <c r="L7" s="150">
        <v>12</v>
      </c>
      <c r="M7" s="148">
        <v>13</v>
      </c>
      <c r="N7" s="150">
        <v>14</v>
      </c>
      <c r="O7" s="150">
        <v>15</v>
      </c>
      <c r="P7" s="148">
        <v>16</v>
      </c>
      <c r="Q7" s="150">
        <v>17</v>
      </c>
      <c r="R7" s="150">
        <v>18</v>
      </c>
      <c r="S7" s="148">
        <v>19</v>
      </c>
      <c r="T7" s="150">
        <v>20</v>
      </c>
      <c r="U7" s="150">
        <v>21</v>
      </c>
      <c r="V7" s="148">
        <v>22</v>
      </c>
      <c r="W7" s="150">
        <v>23</v>
      </c>
      <c r="X7" s="148">
        <v>24</v>
      </c>
      <c r="Y7" s="150">
        <v>25</v>
      </c>
      <c r="Z7" s="148">
        <v>26</v>
      </c>
      <c r="AA7" s="150">
        <v>27</v>
      </c>
      <c r="AB7" s="148">
        <v>28</v>
      </c>
      <c r="AC7" s="150">
        <v>29</v>
      </c>
      <c r="AD7" s="148">
        <v>30</v>
      </c>
      <c r="AE7" s="148">
        <v>31</v>
      </c>
      <c r="AF7" s="150">
        <v>32</v>
      </c>
      <c r="AG7" s="148">
        <v>33</v>
      </c>
      <c r="AH7" s="150">
        <v>34</v>
      </c>
      <c r="AI7" s="148">
        <v>35</v>
      </c>
      <c r="AJ7" s="150">
        <v>36</v>
      </c>
      <c r="AK7" s="148">
        <v>37</v>
      </c>
      <c r="AL7" s="150">
        <v>38</v>
      </c>
      <c r="AM7" s="148">
        <v>39</v>
      </c>
      <c r="AN7" s="148">
        <v>40</v>
      </c>
      <c r="AO7" s="150">
        <v>41</v>
      </c>
      <c r="AP7" s="148">
        <v>42</v>
      </c>
      <c r="AQ7" s="150">
        <v>43</v>
      </c>
      <c r="AR7" s="148"/>
      <c r="AS7" s="148">
        <v>44</v>
      </c>
      <c r="AT7" s="150">
        <v>45</v>
      </c>
      <c r="AU7" s="148">
        <v>46</v>
      </c>
      <c r="AV7" s="150">
        <v>47</v>
      </c>
      <c r="AW7" s="148">
        <v>48</v>
      </c>
      <c r="AX7" s="148">
        <v>49</v>
      </c>
      <c r="AY7" s="150"/>
      <c r="AZ7" s="150">
        <v>50</v>
      </c>
      <c r="BA7" s="150">
        <v>51</v>
      </c>
      <c r="BB7" s="150">
        <v>52</v>
      </c>
      <c r="BC7" s="150">
        <v>53</v>
      </c>
      <c r="BD7" s="150">
        <v>54</v>
      </c>
      <c r="BE7" s="150"/>
      <c r="BF7" s="150">
        <v>55</v>
      </c>
      <c r="BG7" s="150">
        <v>56</v>
      </c>
    </row>
    <row r="8" spans="1:59" s="20" customFormat="1" ht="13.5" thickBot="1">
      <c r="A8" s="22" t="s">
        <v>54</v>
      </c>
      <c r="B8" s="173"/>
      <c r="C8" s="173">
        <f>Лист1!C42</f>
        <v>1929747.5300000003</v>
      </c>
      <c r="D8" s="173">
        <f>Лист1!D42</f>
        <v>399160.2343152001</v>
      </c>
      <c r="E8" s="173">
        <f>Лист1!E42</f>
        <v>169813.42</v>
      </c>
      <c r="F8" s="173">
        <f>Лист1!F42</f>
        <v>23767.99</v>
      </c>
      <c r="G8" s="173">
        <f>0</f>
        <v>0</v>
      </c>
      <c r="H8" s="173">
        <f>0</f>
        <v>0</v>
      </c>
      <c r="I8" s="173">
        <f>Лист1!G42</f>
        <v>231152.07</v>
      </c>
      <c r="J8" s="173">
        <f>Лист1!H42</f>
        <v>32168.950000000004</v>
      </c>
      <c r="K8" s="173">
        <f>Лист1!K42</f>
        <v>389827.7</v>
      </c>
      <c r="L8" s="173">
        <f>Лист1!L42</f>
        <v>54351.479999999996</v>
      </c>
      <c r="M8" s="173">
        <f>Лист1!I42</f>
        <v>555576.04</v>
      </c>
      <c r="N8" s="173">
        <f>Лист1!J42</f>
        <v>77327.72</v>
      </c>
      <c r="O8" s="173">
        <f>Лист1!M42</f>
        <v>136850.46000000002</v>
      </c>
      <c r="P8" s="173">
        <f>Лист1!N42</f>
        <v>19375.63</v>
      </c>
      <c r="Q8" s="173">
        <f>Лист1!Q42</f>
        <v>237325.18999999994</v>
      </c>
      <c r="R8" s="173">
        <f>Лист1!R42</f>
        <v>20797.36</v>
      </c>
      <c r="S8" s="173">
        <f>'[1]Лист1'!Q44</f>
        <v>0</v>
      </c>
      <c r="T8" s="173">
        <f>'[1]Лист1'!R44</f>
        <v>0</v>
      </c>
      <c r="U8" s="173">
        <f>Лист1!S42</f>
        <v>1720544.88</v>
      </c>
      <c r="V8" s="173">
        <f>Лист1!T42</f>
        <v>227789.13</v>
      </c>
      <c r="W8" s="173">
        <f>Лист1!U42</f>
        <v>157375.23</v>
      </c>
      <c r="X8" s="173">
        <v>0</v>
      </c>
      <c r="Y8" s="173">
        <f>Лист1!V42</f>
        <v>212366.28999999998</v>
      </c>
      <c r="Z8" s="173">
        <f>Лист1!X42</f>
        <v>352636.22</v>
      </c>
      <c r="AA8" s="173">
        <f>Лист1!W42</f>
        <v>510056.36</v>
      </c>
      <c r="AB8" s="173">
        <f>Лист1!Y42</f>
        <v>126374.03</v>
      </c>
      <c r="AC8" s="173">
        <f>'[2]Лист1'!Z42</f>
        <v>0</v>
      </c>
      <c r="AD8" s="173">
        <f>Лист1!AA42</f>
        <v>245216.82</v>
      </c>
      <c r="AE8" s="173">
        <f>0</f>
        <v>0</v>
      </c>
      <c r="AF8" s="173">
        <f>Лист1!AB42</f>
        <v>1604024.9499999997</v>
      </c>
      <c r="AG8" s="173">
        <f>Лист1!AC42</f>
        <v>2230974.3143152</v>
      </c>
      <c r="AH8" s="173">
        <f>'[2]Лист1'!AD42</f>
        <v>0</v>
      </c>
      <c r="AI8" s="173">
        <f>Лист1!AE42</f>
        <v>266014.18</v>
      </c>
      <c r="AJ8" s="173">
        <f>Лист1!AF42</f>
        <v>450</v>
      </c>
      <c r="AK8" s="173">
        <f>Лист1!AG42</f>
        <v>132070.104</v>
      </c>
      <c r="AL8" s="173">
        <f>Лист1!AH42</f>
        <v>44364.6578838</v>
      </c>
      <c r="AM8" s="173">
        <f>Лист1!AI42+Лист1!AJ42</f>
        <v>219422.534146945</v>
      </c>
      <c r="AN8" s="173">
        <v>0</v>
      </c>
      <c r="AO8" s="173">
        <f>Лист1!AK42+Лист1!AL42</f>
        <v>222583.02189245142</v>
      </c>
      <c r="AP8" s="173">
        <f>Лист1!AM42+Лист1!AN42</f>
        <v>487488.4980800292</v>
      </c>
      <c r="AQ8" s="173">
        <v>0</v>
      </c>
      <c r="AR8" s="173">
        <v>0</v>
      </c>
      <c r="AS8" s="173">
        <v>0</v>
      </c>
      <c r="AT8" s="173">
        <f>Лист1!AO42</f>
        <v>9394.92</v>
      </c>
      <c r="AU8" s="173">
        <f>Лист1!AS42</f>
        <v>200593.15999999997</v>
      </c>
      <c r="AV8" s="173">
        <v>0</v>
      </c>
      <c r="AW8" s="173">
        <f>Лист1!AT42+Лист1!AU42</f>
        <v>270430.9158</v>
      </c>
      <c r="AX8" s="173">
        <f>Лист1!AQ42+Лист1!AR42</f>
        <v>132687.5556</v>
      </c>
      <c r="AY8" s="174">
        <f>Лист1!AX42</f>
        <v>156609.9348</v>
      </c>
      <c r="AZ8" s="174">
        <f>Лист1!AY42</f>
        <v>300061.3543744653</v>
      </c>
      <c r="BA8" s="174">
        <f>Лист1!AZ42</f>
        <v>0</v>
      </c>
      <c r="BB8" s="174">
        <v>0</v>
      </c>
      <c r="BC8" s="174">
        <f>Лист1!BB42</f>
        <v>2175706.6565776905</v>
      </c>
      <c r="BD8" s="173">
        <f>Лист1!BC42</f>
        <v>112.5</v>
      </c>
      <c r="BE8" s="175">
        <f>Лист1!BB42+Лист1!BC42</f>
        <v>2175819.1565776905</v>
      </c>
      <c r="BF8" s="176">
        <f>Лист1!BD42</f>
        <v>43482.237800661256</v>
      </c>
      <c r="BG8" s="176">
        <f>'2008-2009'!P48</f>
        <v>-62764.10999999998</v>
      </c>
    </row>
    <row r="9" spans="1:59" ht="12.75">
      <c r="A9" s="5" t="s">
        <v>102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77"/>
      <c r="BF9" s="176"/>
      <c r="BG9" s="178"/>
    </row>
    <row r="10" spans="1:59" ht="12.75">
      <c r="A10" s="163" t="s">
        <v>45</v>
      </c>
      <c r="B10" s="129">
        <v>7445.1</v>
      </c>
      <c r="C10" s="107">
        <f>B10*8.55</f>
        <v>63655.60500000001</v>
      </c>
      <c r="D10" s="90">
        <v>744.804</v>
      </c>
      <c r="E10" s="118">
        <v>0</v>
      </c>
      <c r="F10" s="118">
        <v>0</v>
      </c>
      <c r="G10" s="117">
        <v>40168.57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19595.83</v>
      </c>
      <c r="N10" s="117">
        <v>0</v>
      </c>
      <c r="O10" s="117">
        <v>6808.46</v>
      </c>
      <c r="P10" s="118">
        <v>0</v>
      </c>
      <c r="Q10" s="194">
        <v>15969.13</v>
      </c>
      <c r="R10" s="187">
        <v>0</v>
      </c>
      <c r="S10" s="184">
        <v>100</v>
      </c>
      <c r="T10" s="238">
        <v>0</v>
      </c>
      <c r="U10" s="179">
        <f aca="true" t="shared" si="0" ref="U10:V21">E10+G10+I10+K10+M10+O10+Q10+S10</f>
        <v>82641.99</v>
      </c>
      <c r="V10" s="180">
        <f t="shared" si="0"/>
        <v>0</v>
      </c>
      <c r="W10" s="117">
        <v>4549.58</v>
      </c>
      <c r="X10" s="117"/>
      <c r="Y10" s="117">
        <v>6163.54</v>
      </c>
      <c r="Z10" s="117">
        <v>10258.13</v>
      </c>
      <c r="AA10" s="117">
        <v>14807.56</v>
      </c>
      <c r="AB10" s="117">
        <v>3639.62</v>
      </c>
      <c r="AC10" s="118">
        <v>0</v>
      </c>
      <c r="AD10" s="118">
        <v>8111.31</v>
      </c>
      <c r="AE10" s="181">
        <v>127.3</v>
      </c>
      <c r="AF10" s="181">
        <f>SUM(W10:AE10)</f>
        <v>47657.04</v>
      </c>
      <c r="AG10" s="182">
        <f>AF10+V10+D10</f>
        <v>48401.844</v>
      </c>
      <c r="AH10" s="183">
        <f aca="true" t="shared" si="1" ref="AH10:AI21">AC10</f>
        <v>0</v>
      </c>
      <c r="AI10" s="183">
        <f t="shared" si="1"/>
        <v>8111.31</v>
      </c>
      <c r="AJ10" s="121">
        <f>'[3]Т01'!$I$161</f>
        <v>114</v>
      </c>
      <c r="AK10" s="122">
        <f aca="true" t="shared" si="2" ref="AK10:AK21">0.67*B10</f>
        <v>4988.217000000001</v>
      </c>
      <c r="AL10" s="122">
        <f aca="true" t="shared" si="3" ref="AL10:AL21">B10*0.2</f>
        <v>1489.0200000000002</v>
      </c>
      <c r="AM10" s="122">
        <f aca="true" t="shared" si="4" ref="AM10:AM21">B10*1</f>
        <v>7445.1</v>
      </c>
      <c r="AN10" s="122">
        <f aca="true" t="shared" si="5" ref="AN10:AN21">B10*0.21</f>
        <v>1563.471</v>
      </c>
      <c r="AO10" s="122">
        <f>2.02*B10</f>
        <v>15039.102</v>
      </c>
      <c r="AP10" s="122">
        <f aca="true" t="shared" si="6" ref="AP10:AP21">B10*1.03</f>
        <v>7668.453</v>
      </c>
      <c r="AQ10" s="122">
        <f aca="true" t="shared" si="7" ref="AQ10:AQ21">B10*0.75</f>
        <v>5583.825000000001</v>
      </c>
      <c r="AR10" s="122">
        <f aca="true" t="shared" si="8" ref="AR10:AR21">B10*0.75</f>
        <v>5583.825000000001</v>
      </c>
      <c r="AS10" s="122">
        <f>B10*1.15</f>
        <v>8561.865</v>
      </c>
      <c r="AT10" s="122">
        <f>1739.8*0.45</f>
        <v>782.91</v>
      </c>
      <c r="AU10" s="124"/>
      <c r="AV10" s="123"/>
      <c r="AW10" s="124"/>
      <c r="AX10" s="124">
        <f>6.04+5+19.4+21.3</f>
        <v>51.739999999999995</v>
      </c>
      <c r="AY10" s="101">
        <v>25382.36997341217</v>
      </c>
      <c r="AZ10" s="127"/>
      <c r="BA10" s="127"/>
      <c r="BB10" s="127">
        <f>AZ10*0.18</f>
        <v>0</v>
      </c>
      <c r="BC10" s="127">
        <f>SUM(AK10:BB10)</f>
        <v>84139.89797341218</v>
      </c>
      <c r="BD10" s="128">
        <f>'[3]Т01'!$R$161</f>
        <v>28.5</v>
      </c>
      <c r="BE10" s="193">
        <f>BC10+BD10</f>
        <v>84168.39797341218</v>
      </c>
      <c r="BF10" s="127">
        <f>AG10+AJ10-BE10</f>
        <v>-35652.553973412185</v>
      </c>
      <c r="BG10" s="128">
        <f>AF10-U10</f>
        <v>-34984.950000000004</v>
      </c>
    </row>
    <row r="11" spans="1:59" ht="12.75">
      <c r="A11" s="163" t="s">
        <v>46</v>
      </c>
      <c r="B11" s="129">
        <v>7445.1</v>
      </c>
      <c r="C11" s="107">
        <f>B11*8.55</f>
        <v>63655.60500000001</v>
      </c>
      <c r="D11" s="90">
        <v>744.804</v>
      </c>
      <c r="E11" s="118">
        <v>0</v>
      </c>
      <c r="F11" s="118">
        <v>0</v>
      </c>
      <c r="G11" s="117">
        <v>39414.08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19587.88</v>
      </c>
      <c r="N11" s="117">
        <v>0</v>
      </c>
      <c r="O11" s="117">
        <v>6905.8</v>
      </c>
      <c r="P11" s="118">
        <v>0</v>
      </c>
      <c r="Q11" s="118">
        <v>35662.13</v>
      </c>
      <c r="R11" s="118">
        <v>0</v>
      </c>
      <c r="S11" s="118">
        <v>100</v>
      </c>
      <c r="T11" s="117">
        <v>0</v>
      </c>
      <c r="U11" s="184">
        <f t="shared" si="0"/>
        <v>101669.89000000001</v>
      </c>
      <c r="V11" s="180">
        <f t="shared" si="0"/>
        <v>0</v>
      </c>
      <c r="W11" s="117">
        <v>1463.97</v>
      </c>
      <c r="X11" s="118">
        <v>27802.14</v>
      </c>
      <c r="Y11" s="117">
        <v>1983.07</v>
      </c>
      <c r="Z11" s="117">
        <v>3165.53</v>
      </c>
      <c r="AA11" s="117">
        <v>18419.81</v>
      </c>
      <c r="AB11" s="117">
        <v>6046.94</v>
      </c>
      <c r="AC11" s="118">
        <v>0</v>
      </c>
      <c r="AD11" s="118">
        <v>15258.74</v>
      </c>
      <c r="AE11" s="118">
        <v>117.38</v>
      </c>
      <c r="AF11" s="181">
        <f>SUM(W11:AE11)</f>
        <v>74257.58000000002</v>
      </c>
      <c r="AG11" s="182">
        <f>AF11+V11+D11</f>
        <v>75002.38400000002</v>
      </c>
      <c r="AH11" s="183">
        <f t="shared" si="1"/>
        <v>0</v>
      </c>
      <c r="AI11" s="183">
        <f t="shared" si="1"/>
        <v>15258.74</v>
      </c>
      <c r="AJ11" s="121">
        <f>'[3]Т02'!$J$162</f>
        <v>114</v>
      </c>
      <c r="AK11" s="122">
        <f t="shared" si="2"/>
        <v>4988.217000000001</v>
      </c>
      <c r="AL11" s="122">
        <f t="shared" si="3"/>
        <v>1489.0200000000002</v>
      </c>
      <c r="AM11" s="122">
        <f t="shared" si="4"/>
        <v>7445.1</v>
      </c>
      <c r="AN11" s="122">
        <f t="shared" si="5"/>
        <v>1563.471</v>
      </c>
      <c r="AO11" s="122">
        <f aca="true" t="shared" si="9" ref="AO11:AO21">2.02*B11</f>
        <v>15039.102</v>
      </c>
      <c r="AP11" s="122">
        <f t="shared" si="6"/>
        <v>7668.453</v>
      </c>
      <c r="AQ11" s="122">
        <f t="shared" si="7"/>
        <v>5583.825000000001</v>
      </c>
      <c r="AR11" s="122">
        <f t="shared" si="8"/>
        <v>5583.825000000001</v>
      </c>
      <c r="AS11" s="122">
        <f>B11*1.15</f>
        <v>8561.865</v>
      </c>
      <c r="AT11" s="122">
        <f>1739.8*0.45</f>
        <v>782.91</v>
      </c>
      <c r="AU11" s="124">
        <v>2181</v>
      </c>
      <c r="AV11" s="123"/>
      <c r="AW11" s="124">
        <v>633</v>
      </c>
      <c r="AX11" s="124">
        <f>45.12+16+157.34</f>
        <v>218.46</v>
      </c>
      <c r="AY11" s="101">
        <v>24194.266621983497</v>
      </c>
      <c r="AZ11" s="127"/>
      <c r="BA11" s="127"/>
      <c r="BB11" s="127">
        <f>AZ11*0.18</f>
        <v>0</v>
      </c>
      <c r="BC11" s="127">
        <f>SUM(AK11:BB11)</f>
        <v>85932.5146219835</v>
      </c>
      <c r="BD11" s="128">
        <f>'[3]Т02'!$S$161</f>
        <v>28.5</v>
      </c>
      <c r="BE11" s="193">
        <f aca="true" t="shared" si="10" ref="BE11:BE21">BC11+BD11</f>
        <v>85961.0146219835</v>
      </c>
      <c r="BF11" s="127">
        <f aca="true" t="shared" si="11" ref="BF11:BF21">AG11+AJ11-BE11</f>
        <v>-10844.63062198348</v>
      </c>
      <c r="BG11" s="128">
        <f aca="true" t="shared" si="12" ref="BG11:BG21">AF11-U11</f>
        <v>-27412.309999999998</v>
      </c>
    </row>
    <row r="12" spans="1:59" ht="12.75">
      <c r="A12" s="163" t="s">
        <v>47</v>
      </c>
      <c r="B12" s="129">
        <v>7444.2</v>
      </c>
      <c r="C12" s="107">
        <f>B12*8.55</f>
        <v>63647.91</v>
      </c>
      <c r="D12" s="90">
        <v>744.804</v>
      </c>
      <c r="E12" s="118">
        <v>0</v>
      </c>
      <c r="F12" s="118">
        <v>0</v>
      </c>
      <c r="G12" s="117">
        <v>39778.93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19585.29</v>
      </c>
      <c r="N12" s="117">
        <v>0</v>
      </c>
      <c r="O12" s="117">
        <v>8104.9</v>
      </c>
      <c r="P12" s="118">
        <v>0</v>
      </c>
      <c r="Q12" s="117">
        <v>35657.82</v>
      </c>
      <c r="R12" s="117">
        <v>0</v>
      </c>
      <c r="S12" s="117">
        <v>1300</v>
      </c>
      <c r="T12" s="117">
        <v>0</v>
      </c>
      <c r="U12" s="117">
        <f t="shared" si="0"/>
        <v>104426.94</v>
      </c>
      <c r="V12" s="119">
        <f t="shared" si="0"/>
        <v>0</v>
      </c>
      <c r="W12" s="137">
        <v>722.11</v>
      </c>
      <c r="X12" s="118">
        <v>33021.01</v>
      </c>
      <c r="Y12" s="117">
        <v>978.46</v>
      </c>
      <c r="Z12" s="117">
        <v>1628.4</v>
      </c>
      <c r="AA12" s="117">
        <v>17259.46</v>
      </c>
      <c r="AB12" s="117">
        <v>5847.85</v>
      </c>
      <c r="AC12" s="118">
        <v>0</v>
      </c>
      <c r="AD12" s="118">
        <v>25729.49</v>
      </c>
      <c r="AE12" s="117">
        <v>79.04</v>
      </c>
      <c r="AF12" s="185">
        <f>SUM(W12:AE12)</f>
        <v>85265.81999999999</v>
      </c>
      <c r="AG12" s="182">
        <f>AF12+V12+D12</f>
        <v>86010.624</v>
      </c>
      <c r="AH12" s="183">
        <f t="shared" si="1"/>
        <v>0</v>
      </c>
      <c r="AI12" s="183">
        <f t="shared" si="1"/>
        <v>25729.49</v>
      </c>
      <c r="AJ12" s="121">
        <f>'[3]Т03'!$J$163</f>
        <v>114</v>
      </c>
      <c r="AK12" s="122">
        <f t="shared" si="2"/>
        <v>4987.6140000000005</v>
      </c>
      <c r="AL12" s="122">
        <f t="shared" si="3"/>
        <v>1488.8400000000001</v>
      </c>
      <c r="AM12" s="122">
        <f t="shared" si="4"/>
        <v>7444.2</v>
      </c>
      <c r="AN12" s="122">
        <f t="shared" si="5"/>
        <v>1563.282</v>
      </c>
      <c r="AO12" s="122">
        <f t="shared" si="9"/>
        <v>15037.284</v>
      </c>
      <c r="AP12" s="122">
        <f t="shared" si="6"/>
        <v>7667.526</v>
      </c>
      <c r="AQ12" s="122">
        <f t="shared" si="7"/>
        <v>5583.15</v>
      </c>
      <c r="AR12" s="122">
        <f t="shared" si="8"/>
        <v>5583.15</v>
      </c>
      <c r="AS12" s="122">
        <f>B12*1.15</f>
        <v>8560.83</v>
      </c>
      <c r="AT12" s="122">
        <f>1739.8*0.45</f>
        <v>782.91</v>
      </c>
      <c r="AU12" s="124"/>
      <c r="AV12" s="239">
        <v>139</v>
      </c>
      <c r="AW12" s="124"/>
      <c r="AX12" s="124"/>
      <c r="AY12" s="101">
        <v>25106.589174432396</v>
      </c>
      <c r="AZ12" s="127"/>
      <c r="BA12" s="127"/>
      <c r="BB12" s="127">
        <f>AZ12*0.18</f>
        <v>0</v>
      </c>
      <c r="BC12" s="127">
        <f>SUM(AK12:BB12)</f>
        <v>83944.37517443241</v>
      </c>
      <c r="BD12" s="128">
        <f>'[3]Т03'!$S$163</f>
        <v>28.5</v>
      </c>
      <c r="BE12" s="193">
        <f t="shared" si="10"/>
        <v>83972.87517443241</v>
      </c>
      <c r="BF12" s="127">
        <f t="shared" si="11"/>
        <v>2151.7488255675853</v>
      </c>
      <c r="BG12" s="128">
        <f t="shared" si="12"/>
        <v>-19161.12000000001</v>
      </c>
    </row>
    <row r="13" spans="1:59" ht="12.75">
      <c r="A13" s="163" t="s">
        <v>48</v>
      </c>
      <c r="B13" s="240">
        <v>7442</v>
      </c>
      <c r="C13" s="107">
        <f>B13*8.55</f>
        <v>63629.100000000006</v>
      </c>
      <c r="D13" s="186">
        <v>744.804</v>
      </c>
      <c r="E13" s="194">
        <v>0</v>
      </c>
      <c r="F13" s="118">
        <v>0</v>
      </c>
      <c r="G13" s="117">
        <v>39773.73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19583.23</v>
      </c>
      <c r="N13" s="117">
        <v>0</v>
      </c>
      <c r="O13" s="117">
        <v>6804.17</v>
      </c>
      <c r="P13" s="118">
        <v>0</v>
      </c>
      <c r="Q13" s="118">
        <v>35647.29</v>
      </c>
      <c r="R13" s="118">
        <v>0</v>
      </c>
      <c r="S13" s="194">
        <v>500</v>
      </c>
      <c r="T13" s="187">
        <v>0</v>
      </c>
      <c r="U13" s="184">
        <f t="shared" si="0"/>
        <v>102308.42000000001</v>
      </c>
      <c r="V13" s="119">
        <f t="shared" si="0"/>
        <v>0</v>
      </c>
      <c r="W13" s="117">
        <v>710.74</v>
      </c>
      <c r="X13" s="118">
        <v>40270.32</v>
      </c>
      <c r="Y13" s="117">
        <v>962.87</v>
      </c>
      <c r="Z13" s="117">
        <v>1602.75</v>
      </c>
      <c r="AA13" s="117">
        <v>21845.02</v>
      </c>
      <c r="AB13" s="118">
        <v>7331.9</v>
      </c>
      <c r="AC13" s="117">
        <v>0</v>
      </c>
      <c r="AD13" s="118">
        <v>36896.92</v>
      </c>
      <c r="AE13" s="118">
        <v>2203.37</v>
      </c>
      <c r="AF13" s="181">
        <f>SUM(W13:AE13)</f>
        <v>111823.88999999998</v>
      </c>
      <c r="AG13" s="188">
        <f>AF13+V13+D13</f>
        <v>112568.69399999999</v>
      </c>
      <c r="AH13" s="189">
        <f t="shared" si="1"/>
        <v>0</v>
      </c>
      <c r="AI13" s="189">
        <f t="shared" si="1"/>
        <v>36896.92</v>
      </c>
      <c r="AJ13" s="190">
        <f>'[4]Т04'!$J$164</f>
        <v>114</v>
      </c>
      <c r="AK13" s="122">
        <f t="shared" si="2"/>
        <v>4986.14</v>
      </c>
      <c r="AL13" s="122">
        <f t="shared" si="3"/>
        <v>1488.4</v>
      </c>
      <c r="AM13" s="122">
        <f t="shared" si="4"/>
        <v>7442</v>
      </c>
      <c r="AN13" s="122">
        <f t="shared" si="5"/>
        <v>1562.82</v>
      </c>
      <c r="AO13" s="122">
        <f t="shared" si="9"/>
        <v>15032.84</v>
      </c>
      <c r="AP13" s="122">
        <f t="shared" si="6"/>
        <v>7665.26</v>
      </c>
      <c r="AQ13" s="122">
        <f t="shared" si="7"/>
        <v>5581.5</v>
      </c>
      <c r="AR13" s="122">
        <f t="shared" si="8"/>
        <v>5581.5</v>
      </c>
      <c r="AS13" s="122"/>
      <c r="AT13" s="192">
        <f>0.45*1739.8</f>
        <v>782.91</v>
      </c>
      <c r="AU13" s="191">
        <v>10880</v>
      </c>
      <c r="AV13" s="191"/>
      <c r="AW13" s="191"/>
      <c r="AX13" s="191">
        <f>1518.56+730</f>
        <v>2248.56</v>
      </c>
      <c r="AY13" s="101">
        <v>24277.066033188592</v>
      </c>
      <c r="AZ13" s="192"/>
      <c r="BA13" s="192"/>
      <c r="BB13" s="192"/>
      <c r="BC13" s="127">
        <f>SUM(AK13:BB13)</f>
        <v>87528.9960331886</v>
      </c>
      <c r="BD13" s="193">
        <f>'[3]Т04'!$S$164</f>
        <v>28.5</v>
      </c>
      <c r="BE13" s="193">
        <f t="shared" si="10"/>
        <v>87557.4960331886</v>
      </c>
      <c r="BF13" s="127">
        <f t="shared" si="11"/>
        <v>25125.197966811393</v>
      </c>
      <c r="BG13" s="128">
        <f t="shared" si="12"/>
        <v>9515.469999999972</v>
      </c>
    </row>
    <row r="14" spans="1:59" ht="12.75">
      <c r="A14" s="163" t="s">
        <v>49</v>
      </c>
      <c r="B14" s="241">
        <v>7442</v>
      </c>
      <c r="C14" s="107">
        <f>B14*8.55</f>
        <v>63629.100000000006</v>
      </c>
      <c r="D14" s="186">
        <v>744.804</v>
      </c>
      <c r="E14" s="242">
        <v>0</v>
      </c>
      <c r="F14" s="118">
        <v>0</v>
      </c>
      <c r="G14" s="117">
        <v>39780.34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1586.28</v>
      </c>
      <c r="N14" s="117">
        <v>0</v>
      </c>
      <c r="O14" s="117">
        <v>6805.23</v>
      </c>
      <c r="P14" s="118">
        <v>0</v>
      </c>
      <c r="Q14" s="118">
        <v>35647.29</v>
      </c>
      <c r="R14" s="118">
        <v>0</v>
      </c>
      <c r="S14" s="117">
        <v>500</v>
      </c>
      <c r="T14" s="118">
        <v>0</v>
      </c>
      <c r="U14" s="194">
        <f t="shared" si="0"/>
        <v>84319.13999999998</v>
      </c>
      <c r="V14" s="195">
        <f>F14+H14+J14+L14+N14++R14+T14</f>
        <v>0</v>
      </c>
      <c r="W14" s="117">
        <v>700.84</v>
      </c>
      <c r="X14" s="118">
        <v>27542.34</v>
      </c>
      <c r="Y14" s="117">
        <v>947.32</v>
      </c>
      <c r="Z14" s="117">
        <v>1520.66</v>
      </c>
      <c r="AA14" s="117">
        <v>16009.87</v>
      </c>
      <c r="AB14" s="117">
        <v>5375.19</v>
      </c>
      <c r="AC14" s="118">
        <v>0</v>
      </c>
      <c r="AD14" s="118">
        <v>23988.79</v>
      </c>
      <c r="AE14" s="181">
        <v>300.09</v>
      </c>
      <c r="AF14" s="196">
        <f>SUM(W14:AE14)</f>
        <v>76385.1</v>
      </c>
      <c r="AG14" s="188">
        <f aca="true" t="shared" si="13" ref="AG14:AG21">D14+V14+AF14</f>
        <v>77129.90400000001</v>
      </c>
      <c r="AH14" s="189">
        <f t="shared" si="1"/>
        <v>0</v>
      </c>
      <c r="AI14" s="189">
        <f t="shared" si="1"/>
        <v>23988.79</v>
      </c>
      <c r="AJ14" s="190">
        <f>'[3]Т05'!$J$162</f>
        <v>114</v>
      </c>
      <c r="AK14" s="122">
        <f t="shared" si="2"/>
        <v>4986.14</v>
      </c>
      <c r="AL14" s="122">
        <f t="shared" si="3"/>
        <v>1488.4</v>
      </c>
      <c r="AM14" s="122">
        <f t="shared" si="4"/>
        <v>7442</v>
      </c>
      <c r="AN14" s="122">
        <f t="shared" si="5"/>
        <v>1562.82</v>
      </c>
      <c r="AO14" s="122">
        <f t="shared" si="9"/>
        <v>15032.84</v>
      </c>
      <c r="AP14" s="122">
        <f t="shared" si="6"/>
        <v>7665.26</v>
      </c>
      <c r="AQ14" s="122">
        <f t="shared" si="7"/>
        <v>5581.5</v>
      </c>
      <c r="AR14" s="122">
        <f t="shared" si="8"/>
        <v>5581.5</v>
      </c>
      <c r="AS14" s="122"/>
      <c r="AT14" s="192">
        <f>0.45*1739.8</f>
        <v>782.91</v>
      </c>
      <c r="AU14" s="191">
        <v>275</v>
      </c>
      <c r="AV14" s="191"/>
      <c r="AW14" s="191"/>
      <c r="AX14" s="191">
        <f>17+15.96+76.71</f>
        <v>109.66999999999999</v>
      </c>
      <c r="AY14" s="101">
        <v>27133.724620005378</v>
      </c>
      <c r="AZ14" s="192"/>
      <c r="BA14" s="192"/>
      <c r="BB14" s="192"/>
      <c r="BC14" s="127">
        <f>SUM(AK14:BB14)</f>
        <v>77641.76462000539</v>
      </c>
      <c r="BD14" s="193">
        <f>'[3]Т05'!$S$162</f>
        <v>28.5</v>
      </c>
      <c r="BE14" s="193">
        <f t="shared" si="10"/>
        <v>77670.26462000539</v>
      </c>
      <c r="BF14" s="127">
        <f t="shared" si="11"/>
        <v>-426.3606200053764</v>
      </c>
      <c r="BG14" s="128">
        <f t="shared" si="12"/>
        <v>-7934.039999999979</v>
      </c>
    </row>
    <row r="15" spans="1:59" ht="12.75">
      <c r="A15" s="163" t="s">
        <v>50</v>
      </c>
      <c r="B15" s="129">
        <v>7442</v>
      </c>
      <c r="C15" s="107">
        <f>B15*8.55</f>
        <v>63629.100000000006</v>
      </c>
      <c r="D15" s="424">
        <v>744.804</v>
      </c>
      <c r="E15" s="197">
        <v>-1.53</v>
      </c>
      <c r="F15" s="197"/>
      <c r="G15" s="197">
        <v>39771.13</v>
      </c>
      <c r="H15" s="197"/>
      <c r="I15" s="198">
        <v>-2.08</v>
      </c>
      <c r="J15" s="198"/>
      <c r="K15" s="198">
        <v>-3.46</v>
      </c>
      <c r="L15" s="198"/>
      <c r="M15" s="198">
        <v>19576.78</v>
      </c>
      <c r="N15" s="198"/>
      <c r="O15" s="198">
        <v>6802.44</v>
      </c>
      <c r="P15" s="198"/>
      <c r="Q15" s="198">
        <v>35288.52</v>
      </c>
      <c r="R15" s="199"/>
      <c r="S15" s="199">
        <v>500</v>
      </c>
      <c r="T15" s="198"/>
      <c r="U15" s="232">
        <f t="shared" si="0"/>
        <v>101931.79999999999</v>
      </c>
      <c r="V15" s="200">
        <f t="shared" si="0"/>
        <v>0</v>
      </c>
      <c r="W15" s="201">
        <v>78.46</v>
      </c>
      <c r="X15" s="197">
        <v>38007.77</v>
      </c>
      <c r="Y15" s="197">
        <v>106.25</v>
      </c>
      <c r="Z15" s="197">
        <v>176.9</v>
      </c>
      <c r="AA15" s="197">
        <v>19125.42</v>
      </c>
      <c r="AB15" s="197">
        <v>6567.26</v>
      </c>
      <c r="AC15" s="233">
        <v>0</v>
      </c>
      <c r="AD15" s="197">
        <v>33112.93</v>
      </c>
      <c r="AE15" s="202">
        <v>408.45</v>
      </c>
      <c r="AF15" s="203">
        <f>SUM(W15:AE15)</f>
        <v>97583.43999999999</v>
      </c>
      <c r="AG15" s="188">
        <f t="shared" si="13"/>
        <v>98328.24399999999</v>
      </c>
      <c r="AH15" s="189">
        <f t="shared" si="1"/>
        <v>0</v>
      </c>
      <c r="AI15" s="189">
        <f t="shared" si="1"/>
        <v>33112.93</v>
      </c>
      <c r="AJ15" s="190">
        <f>'[3]Т06'!$J$162</f>
        <v>114</v>
      </c>
      <c r="AK15" s="122">
        <f t="shared" si="2"/>
        <v>4986.14</v>
      </c>
      <c r="AL15" s="122">
        <f t="shared" si="3"/>
        <v>1488.4</v>
      </c>
      <c r="AM15" s="122">
        <f t="shared" si="4"/>
        <v>7442</v>
      </c>
      <c r="AN15" s="122">
        <f t="shared" si="5"/>
        <v>1562.82</v>
      </c>
      <c r="AO15" s="122">
        <f t="shared" si="9"/>
        <v>15032.84</v>
      </c>
      <c r="AP15" s="122">
        <f t="shared" si="6"/>
        <v>7665.26</v>
      </c>
      <c r="AQ15" s="122">
        <f t="shared" si="7"/>
        <v>5581.5</v>
      </c>
      <c r="AR15" s="122">
        <f t="shared" si="8"/>
        <v>5581.5</v>
      </c>
      <c r="AS15" s="122"/>
      <c r="AT15" s="192">
        <f>0.45*1739.8</f>
        <v>782.91</v>
      </c>
      <c r="AU15" s="191">
        <v>4808</v>
      </c>
      <c r="AV15" s="191"/>
      <c r="AW15" s="191"/>
      <c r="AX15" s="191">
        <f>17+142.69</f>
        <v>159.69</v>
      </c>
      <c r="AY15" s="122">
        <v>25435.746972916608</v>
      </c>
      <c r="AZ15" s="192"/>
      <c r="BA15" s="192"/>
      <c r="BB15" s="192"/>
      <c r="BC15" s="127">
        <f>SUM(AK15:BB15)</f>
        <v>80526.80697291662</v>
      </c>
      <c r="BD15" s="193">
        <f>'[3]Т06'!$S$162</f>
        <v>28.5</v>
      </c>
      <c r="BE15" s="193">
        <f t="shared" si="10"/>
        <v>80555.30697291662</v>
      </c>
      <c r="BF15" s="127">
        <f t="shared" si="11"/>
        <v>17886.937027083375</v>
      </c>
      <c r="BG15" s="128">
        <f t="shared" si="12"/>
        <v>-4348.360000000001</v>
      </c>
    </row>
    <row r="16" spans="1:59" ht="12.75">
      <c r="A16" s="163" t="s">
        <v>51</v>
      </c>
      <c r="B16" s="129">
        <v>7442</v>
      </c>
      <c r="C16" s="107">
        <f>B16*8.55</f>
        <v>63629.100000000006</v>
      </c>
      <c r="D16" s="186">
        <v>744.804</v>
      </c>
      <c r="E16" s="204"/>
      <c r="F16" s="204"/>
      <c r="G16" s="204">
        <v>39766.21</v>
      </c>
      <c r="H16" s="204"/>
      <c r="I16" s="204"/>
      <c r="J16" s="204"/>
      <c r="K16" s="204"/>
      <c r="L16" s="204"/>
      <c r="M16" s="204">
        <v>19579.34</v>
      </c>
      <c r="N16" s="204"/>
      <c r="O16" s="204">
        <v>6802.83</v>
      </c>
      <c r="P16" s="204"/>
      <c r="Q16" s="204">
        <v>35647.29</v>
      </c>
      <c r="R16" s="204"/>
      <c r="S16" s="205">
        <v>500</v>
      </c>
      <c r="T16" s="201"/>
      <c r="U16" s="206">
        <f t="shared" si="0"/>
        <v>102295.67000000001</v>
      </c>
      <c r="V16" s="207">
        <f t="shared" si="0"/>
        <v>0</v>
      </c>
      <c r="W16" s="208">
        <v>-225.6</v>
      </c>
      <c r="X16" s="204">
        <v>36910.03</v>
      </c>
      <c r="Y16" s="204">
        <v>-304.42</v>
      </c>
      <c r="Z16" s="204">
        <v>-507.48</v>
      </c>
      <c r="AA16" s="204">
        <v>17639.62</v>
      </c>
      <c r="AB16" s="204">
        <v>6221.12</v>
      </c>
      <c r="AC16" s="233"/>
      <c r="AD16" s="204">
        <v>34895.79</v>
      </c>
      <c r="AE16" s="205">
        <v>499.98</v>
      </c>
      <c r="AF16" s="203">
        <f>SUM(W16:AE16)</f>
        <v>95129.04</v>
      </c>
      <c r="AG16" s="209">
        <f t="shared" si="13"/>
        <v>95873.844</v>
      </c>
      <c r="AH16" s="189">
        <f t="shared" si="1"/>
        <v>0</v>
      </c>
      <c r="AI16" s="189">
        <f t="shared" si="1"/>
        <v>34895.79</v>
      </c>
      <c r="AJ16" s="190">
        <f>'[3]Т07'!$J$167</f>
        <v>114</v>
      </c>
      <c r="AK16" s="122">
        <f t="shared" si="2"/>
        <v>4986.14</v>
      </c>
      <c r="AL16" s="122">
        <f t="shared" si="3"/>
        <v>1488.4</v>
      </c>
      <c r="AM16" s="122">
        <f t="shared" si="4"/>
        <v>7442</v>
      </c>
      <c r="AN16" s="122">
        <f t="shared" si="5"/>
        <v>1562.82</v>
      </c>
      <c r="AO16" s="122">
        <f t="shared" si="9"/>
        <v>15032.84</v>
      </c>
      <c r="AP16" s="122">
        <f t="shared" si="6"/>
        <v>7665.26</v>
      </c>
      <c r="AQ16" s="122">
        <f t="shared" si="7"/>
        <v>5581.5</v>
      </c>
      <c r="AR16" s="122">
        <f t="shared" si="8"/>
        <v>5581.5</v>
      </c>
      <c r="AS16" s="122"/>
      <c r="AT16" s="192">
        <f>0.45*1739.8</f>
        <v>782.91</v>
      </c>
      <c r="AU16" s="191"/>
      <c r="AV16" s="191"/>
      <c r="AW16" s="191"/>
      <c r="AX16" s="191">
        <f>111.43+18.86+8.14+32</f>
        <v>170.43</v>
      </c>
      <c r="AY16" s="101">
        <v>27649.76270697915</v>
      </c>
      <c r="AZ16" s="192"/>
      <c r="BA16" s="192"/>
      <c r="BB16" s="192"/>
      <c r="BC16" s="127">
        <f>SUM(AK16:BB16)</f>
        <v>77943.56270697915</v>
      </c>
      <c r="BD16" s="193">
        <f>'[3]Т07'!$S$167</f>
        <v>28.5</v>
      </c>
      <c r="BE16" s="193">
        <f t="shared" si="10"/>
        <v>77972.06270697915</v>
      </c>
      <c r="BF16" s="127">
        <f t="shared" si="11"/>
        <v>18015.781293020846</v>
      </c>
      <c r="BG16" s="128">
        <f t="shared" si="12"/>
        <v>-7166.630000000019</v>
      </c>
    </row>
    <row r="17" spans="1:59" ht="12.75">
      <c r="A17" s="163" t="s">
        <v>52</v>
      </c>
      <c r="B17" s="243">
        <v>7441.6</v>
      </c>
      <c r="C17" s="107">
        <f>B17*8.55</f>
        <v>63625.68000000001</v>
      </c>
      <c r="D17" s="186">
        <v>744.804</v>
      </c>
      <c r="E17" s="204"/>
      <c r="F17" s="204"/>
      <c r="G17" s="204">
        <v>39763</v>
      </c>
      <c r="H17" s="204"/>
      <c r="I17" s="204"/>
      <c r="J17" s="204"/>
      <c r="K17" s="204"/>
      <c r="L17" s="204"/>
      <c r="M17" s="204">
        <v>19577.77</v>
      </c>
      <c r="N17" s="204"/>
      <c r="O17" s="204">
        <v>6802.27</v>
      </c>
      <c r="P17" s="204"/>
      <c r="Q17" s="204">
        <v>35645.36</v>
      </c>
      <c r="R17" s="204"/>
      <c r="S17" s="205">
        <v>500</v>
      </c>
      <c r="T17" s="202"/>
      <c r="U17" s="210">
        <f t="shared" si="0"/>
        <v>102288.40000000001</v>
      </c>
      <c r="V17" s="211">
        <f t="shared" si="0"/>
        <v>0</v>
      </c>
      <c r="W17" s="204">
        <v>560.63</v>
      </c>
      <c r="X17" s="204">
        <v>33296.89</v>
      </c>
      <c r="Y17" s="204">
        <v>353.24</v>
      </c>
      <c r="Z17" s="204">
        <v>548.34</v>
      </c>
      <c r="AA17" s="204">
        <v>16744.02</v>
      </c>
      <c r="AB17" s="204">
        <v>5819.49</v>
      </c>
      <c r="AC17" s="204"/>
      <c r="AD17" s="204">
        <v>29075.47</v>
      </c>
      <c r="AE17" s="205">
        <v>303.64</v>
      </c>
      <c r="AF17" s="203">
        <f>SUM(W17:AE17)</f>
        <v>86701.71999999999</v>
      </c>
      <c r="AG17" s="209">
        <f t="shared" si="13"/>
        <v>87446.52399999999</v>
      </c>
      <c r="AH17" s="189">
        <f t="shared" si="1"/>
        <v>0</v>
      </c>
      <c r="AI17" s="189">
        <f t="shared" si="1"/>
        <v>29075.47</v>
      </c>
      <c r="AJ17" s="190">
        <f>'[3]Т08'!$J$170</f>
        <v>114</v>
      </c>
      <c r="AK17" s="122">
        <f t="shared" si="2"/>
        <v>4985.872</v>
      </c>
      <c r="AL17" s="122">
        <f t="shared" si="3"/>
        <v>1488.3200000000002</v>
      </c>
      <c r="AM17" s="122">
        <f t="shared" si="4"/>
        <v>7441.6</v>
      </c>
      <c r="AN17" s="122">
        <f t="shared" si="5"/>
        <v>1562.736</v>
      </c>
      <c r="AO17" s="122">
        <f t="shared" si="9"/>
        <v>15032.032000000001</v>
      </c>
      <c r="AP17" s="122">
        <f t="shared" si="6"/>
        <v>7664.848000000001</v>
      </c>
      <c r="AQ17" s="122">
        <f t="shared" si="7"/>
        <v>5581.200000000001</v>
      </c>
      <c r="AR17" s="122">
        <f t="shared" si="8"/>
        <v>5581.200000000001</v>
      </c>
      <c r="AS17" s="122"/>
      <c r="AT17" s="192">
        <f>0.45*1739.8</f>
        <v>782.91</v>
      </c>
      <c r="AU17" s="191">
        <v>280</v>
      </c>
      <c r="AV17" s="191"/>
      <c r="AW17" s="191">
        <f>538+10299</f>
        <v>10837</v>
      </c>
      <c r="AX17" s="191">
        <f>44+140+79.875+8+15.2</f>
        <v>287.075</v>
      </c>
      <c r="AY17" s="101">
        <v>27663.082828245853</v>
      </c>
      <c r="AZ17" s="192"/>
      <c r="BA17" s="192"/>
      <c r="BB17" s="192"/>
      <c r="BC17" s="127">
        <f>SUM(AK17:BB17)</f>
        <v>89187.87582824586</v>
      </c>
      <c r="BD17" s="193">
        <f>'[3]Т08'!$S$170</f>
        <v>28.5</v>
      </c>
      <c r="BE17" s="193">
        <f t="shared" si="10"/>
        <v>89216.37582824586</v>
      </c>
      <c r="BF17" s="127">
        <f t="shared" si="11"/>
        <v>-1655.851828245868</v>
      </c>
      <c r="BG17" s="128">
        <f t="shared" si="12"/>
        <v>-15586.680000000022</v>
      </c>
    </row>
    <row r="18" spans="1:59" ht="12.75">
      <c r="A18" s="163" t="s">
        <v>53</v>
      </c>
      <c r="B18" s="129">
        <v>7441.6</v>
      </c>
      <c r="C18" s="107">
        <f>B18*8.55</f>
        <v>63625.68000000001</v>
      </c>
      <c r="D18" s="186">
        <v>634.848</v>
      </c>
      <c r="E18" s="204"/>
      <c r="F18" s="204"/>
      <c r="G18" s="204">
        <v>40134.3</v>
      </c>
      <c r="H18" s="204"/>
      <c r="I18" s="204"/>
      <c r="J18" s="204"/>
      <c r="K18" s="204"/>
      <c r="L18" s="204"/>
      <c r="M18" s="204">
        <v>19578.22</v>
      </c>
      <c r="N18" s="204"/>
      <c r="O18" s="204">
        <v>6802.42</v>
      </c>
      <c r="P18" s="204"/>
      <c r="Q18" s="204">
        <v>35346.31</v>
      </c>
      <c r="R18" s="204"/>
      <c r="S18" s="205">
        <v>600</v>
      </c>
      <c r="T18" s="212"/>
      <c r="U18" s="212">
        <f t="shared" si="0"/>
        <v>102461.25</v>
      </c>
      <c r="V18" s="213">
        <f t="shared" si="0"/>
        <v>0</v>
      </c>
      <c r="W18" s="204">
        <v>281.16</v>
      </c>
      <c r="X18" s="204">
        <v>34412.67</v>
      </c>
      <c r="Y18" s="204">
        <v>388.94</v>
      </c>
      <c r="Z18" s="204">
        <v>604.92</v>
      </c>
      <c r="AA18" s="204">
        <v>17961.11</v>
      </c>
      <c r="AB18" s="204">
        <v>6198.02</v>
      </c>
      <c r="AC18" s="204"/>
      <c r="AD18" s="204">
        <v>28646.9</v>
      </c>
      <c r="AE18" s="205">
        <v>295.97</v>
      </c>
      <c r="AF18" s="203">
        <f>SUM(W18:AE18)</f>
        <v>88789.69</v>
      </c>
      <c r="AG18" s="209">
        <f t="shared" si="13"/>
        <v>89424.538</v>
      </c>
      <c r="AH18" s="189">
        <f t="shared" si="1"/>
        <v>0</v>
      </c>
      <c r="AI18" s="189">
        <f t="shared" si="1"/>
        <v>28646.9</v>
      </c>
      <c r="AJ18" s="190">
        <f>'[3]Т09'!$J$170</f>
        <v>114</v>
      </c>
      <c r="AK18" s="122">
        <f t="shared" si="2"/>
        <v>4985.872</v>
      </c>
      <c r="AL18" s="122">
        <f t="shared" si="3"/>
        <v>1488.3200000000002</v>
      </c>
      <c r="AM18" s="122">
        <f t="shared" si="4"/>
        <v>7441.6</v>
      </c>
      <c r="AN18" s="122">
        <f t="shared" si="5"/>
        <v>1562.736</v>
      </c>
      <c r="AO18" s="122">
        <f t="shared" si="9"/>
        <v>15032.032000000001</v>
      </c>
      <c r="AP18" s="122">
        <f t="shared" si="6"/>
        <v>7664.848000000001</v>
      </c>
      <c r="AQ18" s="122">
        <f t="shared" si="7"/>
        <v>5581.200000000001</v>
      </c>
      <c r="AR18" s="122">
        <f t="shared" si="8"/>
        <v>5581.200000000001</v>
      </c>
      <c r="AS18" s="122"/>
      <c r="AT18" s="192">
        <f>0.45*1739.8</f>
        <v>782.91</v>
      </c>
      <c r="AU18" s="191"/>
      <c r="AV18" s="191"/>
      <c r="AW18" s="191">
        <v>1513</v>
      </c>
      <c r="AX18" s="191">
        <f>17+90.37+99.26</f>
        <v>206.63</v>
      </c>
      <c r="AY18" s="101">
        <v>25028.963191848412</v>
      </c>
      <c r="AZ18" s="192"/>
      <c r="BA18" s="192"/>
      <c r="BB18" s="192"/>
      <c r="BC18" s="127">
        <f>SUM(AK18:BB18)</f>
        <v>76869.31119184842</v>
      </c>
      <c r="BD18" s="193">
        <f>'[3]Т08'!$S$170</f>
        <v>28.5</v>
      </c>
      <c r="BE18" s="193">
        <f t="shared" si="10"/>
        <v>76897.81119184842</v>
      </c>
      <c r="BF18" s="127">
        <f t="shared" si="11"/>
        <v>12640.72680815158</v>
      </c>
      <c r="BG18" s="128">
        <f t="shared" si="12"/>
        <v>-13671.559999999998</v>
      </c>
    </row>
    <row r="19" spans="1:59" ht="12.75">
      <c r="A19" s="163" t="s">
        <v>41</v>
      </c>
      <c r="B19" s="129">
        <v>7441.6</v>
      </c>
      <c r="C19" s="107">
        <f>B19*8.55</f>
        <v>63625.68000000001</v>
      </c>
      <c r="D19" s="214">
        <v>634.848</v>
      </c>
      <c r="E19" s="197"/>
      <c r="F19" s="197"/>
      <c r="G19" s="197">
        <v>40138.72</v>
      </c>
      <c r="H19" s="197"/>
      <c r="I19" s="197"/>
      <c r="J19" s="197"/>
      <c r="K19" s="197"/>
      <c r="L19" s="197"/>
      <c r="M19" s="197">
        <v>19580.39</v>
      </c>
      <c r="N19" s="197"/>
      <c r="O19" s="197">
        <v>6803.17</v>
      </c>
      <c r="P19" s="197"/>
      <c r="Q19" s="197">
        <v>33558.94</v>
      </c>
      <c r="R19" s="197"/>
      <c r="S19" s="202">
        <v>600</v>
      </c>
      <c r="T19" s="215"/>
      <c r="U19" s="216">
        <f t="shared" si="0"/>
        <v>100681.22</v>
      </c>
      <c r="V19" s="217">
        <f t="shared" si="0"/>
        <v>0</v>
      </c>
      <c r="W19" s="197">
        <v>0</v>
      </c>
      <c r="X19" s="197">
        <v>39117.35</v>
      </c>
      <c r="Y19" s="197">
        <v>0</v>
      </c>
      <c r="Z19" s="197">
        <v>0</v>
      </c>
      <c r="AA19" s="197">
        <v>19241.45</v>
      </c>
      <c r="AB19" s="197">
        <v>6951.34</v>
      </c>
      <c r="AC19" s="197"/>
      <c r="AD19" s="197">
        <v>34140.61</v>
      </c>
      <c r="AE19" s="202">
        <v>407.5</v>
      </c>
      <c r="AF19" s="203">
        <f>SUM(W19:AE19)</f>
        <v>99858.25</v>
      </c>
      <c r="AG19" s="209">
        <f t="shared" si="13"/>
        <v>100493.098</v>
      </c>
      <c r="AH19" s="189">
        <f t="shared" si="1"/>
        <v>0</v>
      </c>
      <c r="AI19" s="189">
        <f t="shared" si="1"/>
        <v>34140.61</v>
      </c>
      <c r="AJ19" s="190">
        <f>'[3]Т10'!$J$170</f>
        <v>114</v>
      </c>
      <c r="AK19" s="122">
        <f t="shared" si="2"/>
        <v>4985.872</v>
      </c>
      <c r="AL19" s="122">
        <f t="shared" si="3"/>
        <v>1488.3200000000002</v>
      </c>
      <c r="AM19" s="122">
        <f t="shared" si="4"/>
        <v>7441.6</v>
      </c>
      <c r="AN19" s="122">
        <f t="shared" si="5"/>
        <v>1562.736</v>
      </c>
      <c r="AO19" s="122">
        <f t="shared" si="9"/>
        <v>15032.032000000001</v>
      </c>
      <c r="AP19" s="122">
        <f t="shared" si="6"/>
        <v>7664.848000000001</v>
      </c>
      <c r="AQ19" s="122">
        <f t="shared" si="7"/>
        <v>5581.200000000001</v>
      </c>
      <c r="AR19" s="122">
        <f t="shared" si="8"/>
        <v>5581.200000000001</v>
      </c>
      <c r="AS19" s="218">
        <f>B19*1.15</f>
        <v>8557.84</v>
      </c>
      <c r="AT19" s="192">
        <f>0.45*1739.8</f>
        <v>782.91</v>
      </c>
      <c r="AU19" s="191"/>
      <c r="AV19" s="191"/>
      <c r="AW19" s="191"/>
      <c r="AX19" s="191">
        <f>41.8+90+154</f>
        <v>285.8</v>
      </c>
      <c r="AY19" s="101">
        <v>30169.44533941164</v>
      </c>
      <c r="AZ19" s="192"/>
      <c r="BA19" s="192"/>
      <c r="BB19" s="192"/>
      <c r="BC19" s="127">
        <f>SUM(AK19:BB19)</f>
        <v>89133.80333941165</v>
      </c>
      <c r="BD19" s="193">
        <f>'[3]Т10'!$S$170</f>
        <v>28.5</v>
      </c>
      <c r="BE19" s="193">
        <f t="shared" si="10"/>
        <v>89162.30333941165</v>
      </c>
      <c r="BF19" s="127">
        <f t="shared" si="11"/>
        <v>11444.794660588348</v>
      </c>
      <c r="BG19" s="128">
        <f t="shared" si="12"/>
        <v>-822.9700000000012</v>
      </c>
    </row>
    <row r="20" spans="1:59" ht="12.75">
      <c r="A20" s="163" t="s">
        <v>42</v>
      </c>
      <c r="B20" s="129">
        <v>7441.6</v>
      </c>
      <c r="C20" s="107">
        <f>B20*8.55</f>
        <v>63625.68000000001</v>
      </c>
      <c r="D20" s="426">
        <v>634.848</v>
      </c>
      <c r="E20" s="197"/>
      <c r="F20" s="197"/>
      <c r="G20" s="197">
        <v>40132.71</v>
      </c>
      <c r="H20" s="197"/>
      <c r="I20" s="197"/>
      <c r="J20" s="197"/>
      <c r="K20" s="197"/>
      <c r="L20" s="197"/>
      <c r="M20" s="197">
        <v>19577.43</v>
      </c>
      <c r="N20" s="197"/>
      <c r="O20" s="197">
        <v>6802.15</v>
      </c>
      <c r="P20" s="197"/>
      <c r="Q20" s="197">
        <v>20645.42</v>
      </c>
      <c r="R20" s="197"/>
      <c r="S20" s="202">
        <v>600</v>
      </c>
      <c r="T20" s="215"/>
      <c r="U20" s="216">
        <f t="shared" si="0"/>
        <v>87757.70999999999</v>
      </c>
      <c r="V20" s="217">
        <f t="shared" si="0"/>
        <v>0</v>
      </c>
      <c r="W20" s="197">
        <v>0</v>
      </c>
      <c r="X20" s="197">
        <v>43840.88</v>
      </c>
      <c r="Y20" s="197">
        <v>0</v>
      </c>
      <c r="Z20" s="197">
        <v>0</v>
      </c>
      <c r="AA20" s="197">
        <v>21320.64</v>
      </c>
      <c r="AB20" s="197">
        <v>7407.51</v>
      </c>
      <c r="AC20" s="197"/>
      <c r="AD20" s="197">
        <v>34496.67</v>
      </c>
      <c r="AE20" s="202">
        <v>692.22</v>
      </c>
      <c r="AF20" s="203">
        <f>SUM(W20:AE20)</f>
        <v>107757.92</v>
      </c>
      <c r="AG20" s="209">
        <f t="shared" si="13"/>
        <v>108392.768</v>
      </c>
      <c r="AH20" s="189">
        <f t="shared" si="1"/>
        <v>0</v>
      </c>
      <c r="AI20" s="189">
        <f t="shared" si="1"/>
        <v>34496.67</v>
      </c>
      <c r="AJ20" s="190">
        <f>'[3]Т11'!$J$170</f>
        <v>114</v>
      </c>
      <c r="AK20" s="122">
        <f t="shared" si="2"/>
        <v>4985.872</v>
      </c>
      <c r="AL20" s="122">
        <f t="shared" si="3"/>
        <v>1488.3200000000002</v>
      </c>
      <c r="AM20" s="122">
        <f t="shared" si="4"/>
        <v>7441.6</v>
      </c>
      <c r="AN20" s="122">
        <f t="shared" si="5"/>
        <v>1562.736</v>
      </c>
      <c r="AO20" s="122">
        <f t="shared" si="9"/>
        <v>15032.032000000001</v>
      </c>
      <c r="AP20" s="122">
        <f t="shared" si="6"/>
        <v>7664.848000000001</v>
      </c>
      <c r="AQ20" s="122">
        <f t="shared" si="7"/>
        <v>5581.200000000001</v>
      </c>
      <c r="AR20" s="122">
        <f t="shared" si="8"/>
        <v>5581.200000000001</v>
      </c>
      <c r="AS20" s="218">
        <f>B20*1.15</f>
        <v>8557.84</v>
      </c>
      <c r="AT20" s="192">
        <f>0.45*1739.8</f>
        <v>782.91</v>
      </c>
      <c r="AU20" s="191"/>
      <c r="AV20" s="191"/>
      <c r="AW20" s="191"/>
      <c r="AX20" s="191">
        <f>114.14+69.75</f>
        <v>183.89</v>
      </c>
      <c r="AY20" s="101">
        <v>26427.122927946904</v>
      </c>
      <c r="AZ20" s="192"/>
      <c r="BA20" s="192"/>
      <c r="BB20" s="192"/>
      <c r="BC20" s="127">
        <f>SUM(AK20:BB20)</f>
        <v>85289.57092794692</v>
      </c>
      <c r="BD20" s="193">
        <f>'[3]Т11'!$S$170</f>
        <v>28.5</v>
      </c>
      <c r="BE20" s="193">
        <f t="shared" si="10"/>
        <v>85318.07092794692</v>
      </c>
      <c r="BF20" s="127">
        <f t="shared" si="11"/>
        <v>23188.69707205308</v>
      </c>
      <c r="BG20" s="128">
        <f t="shared" si="12"/>
        <v>20000.210000000006</v>
      </c>
    </row>
    <row r="21" spans="1:59" ht="13.5" thickBot="1">
      <c r="A21" s="163" t="s">
        <v>43</v>
      </c>
      <c r="B21" s="129">
        <v>7441.6</v>
      </c>
      <c r="C21" s="107">
        <f>B21*8.55</f>
        <v>63625.68000000001</v>
      </c>
      <c r="D21" s="426">
        <v>634.848</v>
      </c>
      <c r="E21" s="219"/>
      <c r="F21" s="219"/>
      <c r="G21" s="219">
        <v>40113.92</v>
      </c>
      <c r="H21" s="219"/>
      <c r="I21" s="219"/>
      <c r="J21" s="219"/>
      <c r="K21" s="219"/>
      <c r="L21" s="219"/>
      <c r="M21" s="219">
        <v>19568.21</v>
      </c>
      <c r="N21" s="219"/>
      <c r="O21" s="219">
        <v>6798.97</v>
      </c>
      <c r="P21" s="219"/>
      <c r="Q21" s="219">
        <v>35645.41</v>
      </c>
      <c r="R21" s="219"/>
      <c r="S21" s="220">
        <v>600</v>
      </c>
      <c r="T21" s="221"/>
      <c r="U21" s="216">
        <f t="shared" si="0"/>
        <v>102726.51</v>
      </c>
      <c r="V21" s="217">
        <f t="shared" si="0"/>
        <v>0</v>
      </c>
      <c r="W21" s="197">
        <v>0</v>
      </c>
      <c r="X21" s="197">
        <v>50633.71</v>
      </c>
      <c r="Y21" s="197">
        <v>0</v>
      </c>
      <c r="Z21" s="197">
        <v>0</v>
      </c>
      <c r="AA21" s="197">
        <v>24796.05</v>
      </c>
      <c r="AB21" s="197">
        <v>8730.53</v>
      </c>
      <c r="AC21" s="197"/>
      <c r="AD21" s="197">
        <v>33368.94</v>
      </c>
      <c r="AE21" s="202">
        <v>959.8</v>
      </c>
      <c r="AF21" s="203">
        <f>SUM(W21:AE21)</f>
        <v>118489.03</v>
      </c>
      <c r="AG21" s="209">
        <f t="shared" si="13"/>
        <v>119123.878</v>
      </c>
      <c r="AH21" s="189">
        <f t="shared" si="1"/>
        <v>0</v>
      </c>
      <c r="AI21" s="189">
        <f t="shared" si="1"/>
        <v>33368.94</v>
      </c>
      <c r="AJ21" s="190">
        <f>'[3]Т12'!$J$151+'[3]Т12'!$J$194</f>
        <v>714</v>
      </c>
      <c r="AK21" s="122">
        <f t="shared" si="2"/>
        <v>4985.872</v>
      </c>
      <c r="AL21" s="122">
        <f t="shared" si="3"/>
        <v>1488.3200000000002</v>
      </c>
      <c r="AM21" s="122">
        <f t="shared" si="4"/>
        <v>7441.6</v>
      </c>
      <c r="AN21" s="122">
        <f t="shared" si="5"/>
        <v>1562.736</v>
      </c>
      <c r="AO21" s="122">
        <f t="shared" si="9"/>
        <v>15032.032000000001</v>
      </c>
      <c r="AP21" s="122">
        <f t="shared" si="6"/>
        <v>7664.848000000001</v>
      </c>
      <c r="AQ21" s="122">
        <f t="shared" si="7"/>
        <v>5581.200000000001</v>
      </c>
      <c r="AR21" s="122">
        <f t="shared" si="8"/>
        <v>5581.200000000001</v>
      </c>
      <c r="AS21" s="218">
        <f>B21*1.15</f>
        <v>8557.84</v>
      </c>
      <c r="AT21" s="192">
        <f>0.45*1739.8</f>
        <v>782.91</v>
      </c>
      <c r="AU21" s="191"/>
      <c r="AV21" s="191">
        <v>607</v>
      </c>
      <c r="AW21" s="191"/>
      <c r="AX21" s="191">
        <f>5500+500+1700+500</f>
        <v>8200</v>
      </c>
      <c r="AY21" s="101">
        <v>25955.445671832167</v>
      </c>
      <c r="AZ21" s="192"/>
      <c r="BA21" s="192"/>
      <c r="BB21" s="192"/>
      <c r="BC21" s="127">
        <f>SUM(AK21:BB21)</f>
        <v>93441.00367183218</v>
      </c>
      <c r="BD21" s="193">
        <f>'[3]Т12'!$S$151+'[3]Т12'!$S$194</f>
        <v>178.5</v>
      </c>
      <c r="BE21" s="193">
        <f t="shared" si="10"/>
        <v>93619.50367183218</v>
      </c>
      <c r="BF21" s="127">
        <f t="shared" si="11"/>
        <v>26218.374328167818</v>
      </c>
      <c r="BG21" s="128">
        <f t="shared" si="12"/>
        <v>15762.520000000004</v>
      </c>
    </row>
    <row r="22" spans="1:59" s="20" customFormat="1" ht="13.5" thickBot="1">
      <c r="A22" s="222" t="s">
        <v>5</v>
      </c>
      <c r="B22" s="223"/>
      <c r="C22" s="224">
        <f aca="true" t="shared" si="14" ref="C22:BF22">SUM(C10:C21)</f>
        <v>763603.9200000002</v>
      </c>
      <c r="D22" s="224">
        <f t="shared" si="14"/>
        <v>8497.824</v>
      </c>
      <c r="E22" s="224">
        <f t="shared" si="14"/>
        <v>-1.53</v>
      </c>
      <c r="F22" s="224">
        <f t="shared" si="14"/>
        <v>0</v>
      </c>
      <c r="G22" s="224">
        <f t="shared" si="14"/>
        <v>478735.64</v>
      </c>
      <c r="H22" s="224">
        <f t="shared" si="14"/>
        <v>0</v>
      </c>
      <c r="I22" s="224">
        <f t="shared" si="14"/>
        <v>-2.08</v>
      </c>
      <c r="J22" s="224">
        <f t="shared" si="14"/>
        <v>0</v>
      </c>
      <c r="K22" s="224">
        <f t="shared" si="14"/>
        <v>-3.46</v>
      </c>
      <c r="L22" s="224">
        <f t="shared" si="14"/>
        <v>0</v>
      </c>
      <c r="M22" s="224">
        <f t="shared" si="14"/>
        <v>216976.65</v>
      </c>
      <c r="N22" s="224">
        <f t="shared" si="14"/>
        <v>0</v>
      </c>
      <c r="O22" s="224">
        <f t="shared" si="14"/>
        <v>83042.81</v>
      </c>
      <c r="P22" s="224">
        <f t="shared" si="14"/>
        <v>0</v>
      </c>
      <c r="Q22" s="224">
        <f t="shared" si="14"/>
        <v>390360.91000000003</v>
      </c>
      <c r="R22" s="224">
        <f t="shared" si="14"/>
        <v>0</v>
      </c>
      <c r="S22" s="224">
        <f t="shared" si="14"/>
        <v>6400</v>
      </c>
      <c r="T22" s="224">
        <f t="shared" si="14"/>
        <v>0</v>
      </c>
      <c r="U22" s="224">
        <f t="shared" si="14"/>
        <v>1175508.94</v>
      </c>
      <c r="V22" s="224">
        <f t="shared" si="14"/>
        <v>0</v>
      </c>
      <c r="W22" s="224">
        <f t="shared" si="14"/>
        <v>8841.889999999998</v>
      </c>
      <c r="X22" s="224">
        <f t="shared" si="14"/>
        <v>404855.11</v>
      </c>
      <c r="Y22" s="224">
        <f t="shared" si="14"/>
        <v>11579.27</v>
      </c>
      <c r="Z22" s="224">
        <f t="shared" si="14"/>
        <v>18998.149999999998</v>
      </c>
      <c r="AA22" s="224">
        <f t="shared" si="14"/>
        <v>225170.03000000003</v>
      </c>
      <c r="AB22" s="224">
        <f t="shared" si="14"/>
        <v>76136.76999999999</v>
      </c>
      <c r="AC22" s="224">
        <f t="shared" si="14"/>
        <v>0</v>
      </c>
      <c r="AD22" s="224">
        <f t="shared" si="14"/>
        <v>337722.56</v>
      </c>
      <c r="AE22" s="224">
        <f t="shared" si="14"/>
        <v>6394.740000000001</v>
      </c>
      <c r="AF22" s="224">
        <f t="shared" si="14"/>
        <v>1089698.5199999998</v>
      </c>
      <c r="AG22" s="224">
        <f t="shared" si="14"/>
        <v>1098196.3439999998</v>
      </c>
      <c r="AH22" s="224">
        <f t="shared" si="14"/>
        <v>0</v>
      </c>
      <c r="AI22" s="224">
        <f t="shared" si="14"/>
        <v>337722.56</v>
      </c>
      <c r="AJ22" s="224">
        <f t="shared" si="14"/>
        <v>1968</v>
      </c>
      <c r="AK22" s="224">
        <f t="shared" si="14"/>
        <v>59837.968000000015</v>
      </c>
      <c r="AL22" s="224">
        <f t="shared" si="14"/>
        <v>17862.079999999998</v>
      </c>
      <c r="AM22" s="224">
        <f t="shared" si="14"/>
        <v>89310.40000000002</v>
      </c>
      <c r="AN22" s="224">
        <f t="shared" si="14"/>
        <v>18755.184</v>
      </c>
      <c r="AO22" s="224">
        <f t="shared" si="14"/>
        <v>180407.008</v>
      </c>
      <c r="AP22" s="224">
        <f t="shared" si="14"/>
        <v>91989.712</v>
      </c>
      <c r="AQ22" s="224">
        <f t="shared" si="14"/>
        <v>66982.79999999999</v>
      </c>
      <c r="AR22" s="224">
        <f t="shared" si="14"/>
        <v>66982.79999999999</v>
      </c>
      <c r="AS22" s="224">
        <f t="shared" si="14"/>
        <v>51358.07999999999</v>
      </c>
      <c r="AT22" s="224">
        <f t="shared" si="14"/>
        <v>9394.92</v>
      </c>
      <c r="AU22" s="224">
        <f t="shared" si="14"/>
        <v>18424</v>
      </c>
      <c r="AV22" s="224">
        <f t="shared" si="14"/>
        <v>746</v>
      </c>
      <c r="AW22" s="224">
        <f t="shared" si="14"/>
        <v>12983</v>
      </c>
      <c r="AX22" s="224">
        <f t="shared" si="14"/>
        <v>12121.945</v>
      </c>
      <c r="AY22" s="224">
        <f t="shared" si="14"/>
        <v>314423.5860622028</v>
      </c>
      <c r="AZ22" s="224">
        <f t="shared" si="14"/>
        <v>0</v>
      </c>
      <c r="BA22" s="224">
        <f t="shared" si="14"/>
        <v>0</v>
      </c>
      <c r="BB22" s="224">
        <f t="shared" si="14"/>
        <v>0</v>
      </c>
      <c r="BC22" s="224">
        <f t="shared" si="14"/>
        <v>1011579.4830622028</v>
      </c>
      <c r="BD22" s="224">
        <f t="shared" si="14"/>
        <v>492</v>
      </c>
      <c r="BE22" s="224">
        <f t="shared" si="14"/>
        <v>1012071.4830622028</v>
      </c>
      <c r="BF22" s="224">
        <f t="shared" si="14"/>
        <v>88092.86093779712</v>
      </c>
      <c r="BG22" s="224">
        <f>SUM(BG10:BG21)</f>
        <v>-85810.42000000004</v>
      </c>
    </row>
    <row r="23" spans="1:59" s="20" customFormat="1" ht="13.5" thickBo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7"/>
      <c r="BF23" s="226"/>
      <c r="BG23" s="228"/>
    </row>
    <row r="24" spans="1:59" s="20" customFormat="1" ht="13.5" thickBot="1">
      <c r="A24" s="22" t="s">
        <v>54</v>
      </c>
      <c r="B24" s="226"/>
      <c r="C24" s="229">
        <f aca="true" t="shared" si="15" ref="C24:BG24">C22+C8</f>
        <v>2693351.45</v>
      </c>
      <c r="D24" s="229">
        <f t="shared" si="15"/>
        <v>407658.05831520015</v>
      </c>
      <c r="E24" s="229">
        <f t="shared" si="15"/>
        <v>169811.89</v>
      </c>
      <c r="F24" s="229">
        <f t="shared" si="15"/>
        <v>23767.99</v>
      </c>
      <c r="G24" s="229">
        <f t="shared" si="15"/>
        <v>478735.64</v>
      </c>
      <c r="H24" s="229">
        <f t="shared" si="15"/>
        <v>0</v>
      </c>
      <c r="I24" s="229">
        <f t="shared" si="15"/>
        <v>231149.99000000002</v>
      </c>
      <c r="J24" s="229">
        <f t="shared" si="15"/>
        <v>32168.950000000004</v>
      </c>
      <c r="K24" s="229">
        <f t="shared" si="15"/>
        <v>389824.24</v>
      </c>
      <c r="L24" s="229">
        <f t="shared" si="15"/>
        <v>54351.479999999996</v>
      </c>
      <c r="M24" s="229">
        <f t="shared" si="15"/>
        <v>772552.6900000001</v>
      </c>
      <c r="N24" s="229">
        <f t="shared" si="15"/>
        <v>77327.72</v>
      </c>
      <c r="O24" s="229">
        <f t="shared" si="15"/>
        <v>219893.27000000002</v>
      </c>
      <c r="P24" s="229">
        <f t="shared" si="15"/>
        <v>19375.63</v>
      </c>
      <c r="Q24" s="229">
        <f t="shared" si="15"/>
        <v>627686.1</v>
      </c>
      <c r="R24" s="229">
        <f t="shared" si="15"/>
        <v>20797.36</v>
      </c>
      <c r="S24" s="229">
        <f t="shared" si="15"/>
        <v>6400</v>
      </c>
      <c r="T24" s="229">
        <f t="shared" si="15"/>
        <v>0</v>
      </c>
      <c r="U24" s="229">
        <f t="shared" si="15"/>
        <v>2896053.82</v>
      </c>
      <c r="V24" s="229">
        <f t="shared" si="15"/>
        <v>227789.13</v>
      </c>
      <c r="W24" s="229">
        <f t="shared" si="15"/>
        <v>166217.12</v>
      </c>
      <c r="X24" s="229">
        <f t="shared" si="15"/>
        <v>404855.11</v>
      </c>
      <c r="Y24" s="229">
        <f t="shared" si="15"/>
        <v>223945.55999999997</v>
      </c>
      <c r="Z24" s="229">
        <f t="shared" si="15"/>
        <v>371634.37</v>
      </c>
      <c r="AA24" s="229">
        <f t="shared" si="15"/>
        <v>735226.39</v>
      </c>
      <c r="AB24" s="229">
        <f t="shared" si="15"/>
        <v>202510.8</v>
      </c>
      <c r="AC24" s="229">
        <f t="shared" si="15"/>
        <v>0</v>
      </c>
      <c r="AD24" s="229">
        <f t="shared" si="15"/>
        <v>582939.38</v>
      </c>
      <c r="AE24" s="229">
        <f t="shared" si="15"/>
        <v>6394.740000000001</v>
      </c>
      <c r="AF24" s="229">
        <f t="shared" si="15"/>
        <v>2693723.4699999997</v>
      </c>
      <c r="AG24" s="229">
        <f t="shared" si="15"/>
        <v>3329170.6583151994</v>
      </c>
      <c r="AH24" s="229">
        <f t="shared" si="15"/>
        <v>0</v>
      </c>
      <c r="AI24" s="229">
        <f t="shared" si="15"/>
        <v>603736.74</v>
      </c>
      <c r="AJ24" s="229">
        <f t="shared" si="15"/>
        <v>2418</v>
      </c>
      <c r="AK24" s="229">
        <f t="shared" si="15"/>
        <v>191908.07200000001</v>
      </c>
      <c r="AL24" s="229">
        <f t="shared" si="15"/>
        <v>62226.7378838</v>
      </c>
      <c r="AM24" s="229">
        <f t="shared" si="15"/>
        <v>308732.934146945</v>
      </c>
      <c r="AN24" s="229">
        <f t="shared" si="15"/>
        <v>18755.184</v>
      </c>
      <c r="AO24" s="229">
        <f t="shared" si="15"/>
        <v>402990.0298924514</v>
      </c>
      <c r="AP24" s="229">
        <f t="shared" si="15"/>
        <v>579478.2100800292</v>
      </c>
      <c r="AQ24" s="229">
        <f t="shared" si="15"/>
        <v>66982.79999999999</v>
      </c>
      <c r="AR24" s="229">
        <f t="shared" si="15"/>
        <v>66982.79999999999</v>
      </c>
      <c r="AS24" s="229">
        <f t="shared" si="15"/>
        <v>51358.07999999999</v>
      </c>
      <c r="AT24" s="229">
        <f t="shared" si="15"/>
        <v>18789.84</v>
      </c>
      <c r="AU24" s="229">
        <f t="shared" si="15"/>
        <v>219017.15999999997</v>
      </c>
      <c r="AV24" s="229">
        <f t="shared" si="15"/>
        <v>746</v>
      </c>
      <c r="AW24" s="229">
        <f t="shared" si="15"/>
        <v>283413.9158</v>
      </c>
      <c r="AX24" s="229">
        <f t="shared" si="15"/>
        <v>144809.5006</v>
      </c>
      <c r="AY24" s="229">
        <f t="shared" si="15"/>
        <v>471033.5208622028</v>
      </c>
      <c r="AZ24" s="229">
        <f t="shared" si="15"/>
        <v>300061.3543744653</v>
      </c>
      <c r="BA24" s="229">
        <f t="shared" si="15"/>
        <v>0</v>
      </c>
      <c r="BB24" s="229">
        <f t="shared" si="15"/>
        <v>0</v>
      </c>
      <c r="BC24" s="229">
        <f t="shared" si="15"/>
        <v>3187286.1396398935</v>
      </c>
      <c r="BD24" s="229">
        <f t="shared" si="15"/>
        <v>604.5</v>
      </c>
      <c r="BE24" s="230">
        <f>BE22+BE8-20791.12</f>
        <v>3167099.5196398934</v>
      </c>
      <c r="BF24" s="229">
        <f>BF22+BF8</f>
        <v>131575.09873845836</v>
      </c>
      <c r="BG24" s="231">
        <f t="shared" si="15"/>
        <v>-148574.53000000003</v>
      </c>
    </row>
    <row r="25" spans="1:59" ht="12.75">
      <c r="A25" s="5" t="s">
        <v>128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77"/>
      <c r="BF25" s="176"/>
      <c r="BG25" s="178"/>
    </row>
    <row r="26" spans="1:59" ht="12.75">
      <c r="A26" s="163" t="s">
        <v>45</v>
      </c>
      <c r="B26" s="129">
        <v>7441.6</v>
      </c>
      <c r="C26" s="427">
        <f>B26*9.51+6705.6*4.76</f>
        <v>102688.27200000001</v>
      </c>
      <c r="D26" s="426">
        <v>634.848</v>
      </c>
      <c r="E26" s="197"/>
      <c r="F26" s="197"/>
      <c r="G26" s="197">
        <v>40100.15</v>
      </c>
      <c r="H26" s="197"/>
      <c r="I26" s="197"/>
      <c r="J26" s="197"/>
      <c r="K26" s="197"/>
      <c r="L26" s="197"/>
      <c r="M26" s="197">
        <v>19561.43</v>
      </c>
      <c r="N26" s="197"/>
      <c r="O26" s="197">
        <v>6796.63</v>
      </c>
      <c r="P26" s="197"/>
      <c r="Q26" s="197">
        <v>26216.11</v>
      </c>
      <c r="R26" s="197"/>
      <c r="S26" s="202">
        <v>600</v>
      </c>
      <c r="T26" s="221"/>
      <c r="U26" s="216">
        <f aca="true" t="shared" si="16" ref="U26:U31">E26+G26+I26+K26+M26+O26+Q26+S26</f>
        <v>93274.32</v>
      </c>
      <c r="V26" s="217">
        <f aca="true" t="shared" si="17" ref="V26:V31">F26+H26+J26+L26+N26+P26+R26+T26</f>
        <v>0</v>
      </c>
      <c r="W26" s="197">
        <v>0</v>
      </c>
      <c r="X26" s="197">
        <v>28427.87</v>
      </c>
      <c r="Y26" s="197">
        <v>0</v>
      </c>
      <c r="Z26" s="197">
        <v>0</v>
      </c>
      <c r="AA26" s="197">
        <v>13843.23</v>
      </c>
      <c r="AB26" s="197">
        <v>4768.72</v>
      </c>
      <c r="AC26" s="197"/>
      <c r="AD26" s="197">
        <v>21746.43</v>
      </c>
      <c r="AE26" s="202">
        <v>676.73</v>
      </c>
      <c r="AF26" s="203">
        <f aca="true" t="shared" si="18" ref="AF26:AF31">SUM(W26:AE26)</f>
        <v>69462.98</v>
      </c>
      <c r="AG26" s="209">
        <f aca="true" t="shared" si="19" ref="AG26:AG37">D26+V26+AF26</f>
        <v>70097.828</v>
      </c>
      <c r="AH26" s="189">
        <f aca="true" t="shared" si="20" ref="AH26:AH34">AC26</f>
        <v>0</v>
      </c>
      <c r="AI26" s="189">
        <f aca="true" t="shared" si="21" ref="AI26:AI37">AD26</f>
        <v>21746.43</v>
      </c>
      <c r="AJ26" s="190">
        <f>'[5]Т01'!$J$149+'[5]Т01'!$J$192</f>
        <v>114</v>
      </c>
      <c r="AK26" s="122">
        <f aca="true" t="shared" si="22" ref="AK26:AK31">0.67*B26</f>
        <v>4985.872</v>
      </c>
      <c r="AL26" s="122">
        <f aca="true" t="shared" si="23" ref="AL26:AL37">B26*0.2</f>
        <v>1488.3200000000002</v>
      </c>
      <c r="AM26" s="122">
        <f aca="true" t="shared" si="24" ref="AM26:AM37">B26*1</f>
        <v>7441.6</v>
      </c>
      <c r="AN26" s="122">
        <f aca="true" t="shared" si="25" ref="AN26:AN37">B26*0.21</f>
        <v>1562.736</v>
      </c>
      <c r="AO26" s="122">
        <f>2.02*B26</f>
        <v>15032.032000000001</v>
      </c>
      <c r="AP26" s="122">
        <f aca="true" t="shared" si="26" ref="AP26:AP37">B26*1.03</f>
        <v>7664.848000000001</v>
      </c>
      <c r="AQ26" s="122">
        <f aca="true" t="shared" si="27" ref="AQ26:AQ37">B26*0.75</f>
        <v>5581.200000000001</v>
      </c>
      <c r="AR26" s="122">
        <f aca="true" t="shared" si="28" ref="AR26:AR37">B26*0.75</f>
        <v>5581.200000000001</v>
      </c>
      <c r="AS26" s="218">
        <f>B26*1.15</f>
        <v>8557.84</v>
      </c>
      <c r="AT26" s="192">
        <f>0.45*1739.8</f>
        <v>782.91</v>
      </c>
      <c r="AU26" s="428">
        <v>25311</v>
      </c>
      <c r="AV26" s="191"/>
      <c r="AW26" s="191"/>
      <c r="AX26" s="191"/>
      <c r="AY26" s="191"/>
      <c r="AZ26" s="101">
        <v>25900.553781789826</v>
      </c>
      <c r="BA26" s="101"/>
      <c r="BB26" s="192"/>
      <c r="BC26" s="425">
        <f>SUM(AK26:BB26)</f>
        <v>109890.11178178983</v>
      </c>
      <c r="BD26" s="193">
        <f>'[5]Т01'!$S$149+'[5]Т01'!$S$192</f>
        <v>28.5</v>
      </c>
      <c r="BE26" s="127">
        <f>BC26+BD26</f>
        <v>109918.61178178983</v>
      </c>
      <c r="BF26" s="128">
        <f>AG26+AJ26-BE26</f>
        <v>-39706.78378178984</v>
      </c>
      <c r="BG26" s="128">
        <f>AF26-U26</f>
        <v>-23811.34000000001</v>
      </c>
    </row>
    <row r="27" spans="1:59" ht="12.75">
      <c r="A27" s="163" t="s">
        <v>46</v>
      </c>
      <c r="B27" s="129">
        <v>7441.6</v>
      </c>
      <c r="C27" s="107">
        <f>B27*8.55</f>
        <v>63625.68000000001</v>
      </c>
      <c r="D27" s="426">
        <v>634.848</v>
      </c>
      <c r="E27" s="204"/>
      <c r="F27" s="204"/>
      <c r="G27" s="204">
        <v>40132.12</v>
      </c>
      <c r="H27" s="204"/>
      <c r="I27" s="204"/>
      <c r="J27" s="204"/>
      <c r="K27" s="204"/>
      <c r="L27" s="204"/>
      <c r="M27" s="204">
        <v>19577.16</v>
      </c>
      <c r="N27" s="204"/>
      <c r="O27" s="204">
        <v>6802.05</v>
      </c>
      <c r="P27" s="204"/>
      <c r="Q27" s="204">
        <v>25068.83</v>
      </c>
      <c r="R27" s="204"/>
      <c r="S27" s="205">
        <v>600</v>
      </c>
      <c r="T27" s="221"/>
      <c r="U27" s="216">
        <f t="shared" si="16"/>
        <v>92180.16</v>
      </c>
      <c r="V27" s="217">
        <f t="shared" si="17"/>
        <v>0</v>
      </c>
      <c r="W27" s="204">
        <v>0</v>
      </c>
      <c r="X27" s="204">
        <v>40879.42</v>
      </c>
      <c r="Y27" s="204">
        <v>0</v>
      </c>
      <c r="Z27" s="204">
        <v>0</v>
      </c>
      <c r="AA27" s="204">
        <v>19802.22</v>
      </c>
      <c r="AB27" s="204">
        <v>6849.95</v>
      </c>
      <c r="AC27" s="204"/>
      <c r="AD27" s="204">
        <v>29121.88</v>
      </c>
      <c r="AE27" s="205">
        <v>293.83</v>
      </c>
      <c r="AF27" s="203">
        <f t="shared" si="18"/>
        <v>96947.3</v>
      </c>
      <c r="AG27" s="209">
        <f t="shared" si="19"/>
        <v>97582.148</v>
      </c>
      <c r="AH27" s="189">
        <f t="shared" si="20"/>
        <v>0</v>
      </c>
      <c r="AI27" s="189">
        <f t="shared" si="21"/>
        <v>29121.88</v>
      </c>
      <c r="AJ27" s="190">
        <f>'[5]Т01'!$J$149+'[5]Т01'!$J$192</f>
        <v>114</v>
      </c>
      <c r="AK27" s="117">
        <f t="shared" si="22"/>
        <v>4985.872</v>
      </c>
      <c r="AL27" s="122">
        <f t="shared" si="23"/>
        <v>1488.3200000000002</v>
      </c>
      <c r="AM27" s="122">
        <f t="shared" si="24"/>
        <v>7441.6</v>
      </c>
      <c r="AN27" s="122">
        <f t="shared" si="25"/>
        <v>1562.736</v>
      </c>
      <c r="AO27" s="122">
        <f>2.02*B27</f>
        <v>15032.032000000001</v>
      </c>
      <c r="AP27" s="122">
        <f t="shared" si="26"/>
        <v>7664.848000000001</v>
      </c>
      <c r="AQ27" s="122">
        <f t="shared" si="27"/>
        <v>5581.200000000001</v>
      </c>
      <c r="AR27" s="122">
        <f t="shared" si="28"/>
        <v>5581.200000000001</v>
      </c>
      <c r="AS27" s="218">
        <f>B27*1.15</f>
        <v>8557.84</v>
      </c>
      <c r="AT27" s="192">
        <f>0.45*1739.8</f>
        <v>782.91</v>
      </c>
      <c r="AU27" s="428"/>
      <c r="AV27" s="191"/>
      <c r="AW27" s="191"/>
      <c r="AX27" s="191"/>
      <c r="AY27" s="191"/>
      <c r="AZ27" s="101">
        <v>24492.792</v>
      </c>
      <c r="BA27" s="101"/>
      <c r="BB27" s="192"/>
      <c r="BC27" s="423">
        <f>SUM(AK27:BB27)</f>
        <v>83171.35</v>
      </c>
      <c r="BD27" s="193">
        <f>'[5]Т01'!$S$149+'[5]Т01'!$S$192</f>
        <v>28.5</v>
      </c>
      <c r="BE27" s="127">
        <f aca="true" t="shared" si="29" ref="BE27:BE37">BC27+BD27</f>
        <v>83199.85</v>
      </c>
      <c r="BF27" s="128">
        <f aca="true" t="shared" si="30" ref="BF27:BF37">AG27+AJ27-BE27</f>
        <v>14496.297999999995</v>
      </c>
      <c r="BG27" s="128">
        <f aca="true" t="shared" si="31" ref="BG27:BG37">AF27-U27</f>
        <v>4767.139999999999</v>
      </c>
    </row>
    <row r="28" spans="1:59" ht="12.75">
      <c r="A28" s="163" t="s">
        <v>47</v>
      </c>
      <c r="B28" s="129">
        <v>7441.6</v>
      </c>
      <c r="C28" s="107">
        <f>B28*8.55</f>
        <v>63625.68000000001</v>
      </c>
      <c r="D28" s="426">
        <v>634.848</v>
      </c>
      <c r="E28" s="204"/>
      <c r="F28" s="204"/>
      <c r="G28" s="204">
        <v>40124.59</v>
      </c>
      <c r="H28" s="204"/>
      <c r="I28" s="204"/>
      <c r="J28" s="204"/>
      <c r="K28" s="204"/>
      <c r="L28" s="204"/>
      <c r="M28" s="204">
        <v>19573.47</v>
      </c>
      <c r="N28" s="204"/>
      <c r="O28" s="204">
        <v>6800.78</v>
      </c>
      <c r="P28" s="204"/>
      <c r="Q28" s="204">
        <v>29582.29</v>
      </c>
      <c r="R28" s="204"/>
      <c r="S28" s="205">
        <v>600</v>
      </c>
      <c r="T28" s="221"/>
      <c r="U28" s="216">
        <f t="shared" si="16"/>
        <v>96681.13</v>
      </c>
      <c r="V28" s="217">
        <f t="shared" si="17"/>
        <v>0</v>
      </c>
      <c r="W28" s="197">
        <v>0</v>
      </c>
      <c r="X28" s="197">
        <v>41385.72</v>
      </c>
      <c r="Y28" s="197">
        <v>0</v>
      </c>
      <c r="Z28" s="197">
        <v>0</v>
      </c>
      <c r="AA28" s="197">
        <v>13256.12</v>
      </c>
      <c r="AB28" s="197">
        <v>4574.94</v>
      </c>
      <c r="AC28" s="197"/>
      <c r="AD28" s="197">
        <v>22759.78</v>
      </c>
      <c r="AE28" s="202">
        <v>528.31</v>
      </c>
      <c r="AF28" s="203">
        <f t="shared" si="18"/>
        <v>82504.87</v>
      </c>
      <c r="AG28" s="209">
        <f t="shared" si="19"/>
        <v>83139.718</v>
      </c>
      <c r="AH28" s="189">
        <f t="shared" si="20"/>
        <v>0</v>
      </c>
      <c r="AI28" s="189">
        <f t="shared" si="21"/>
        <v>22759.78</v>
      </c>
      <c r="AJ28" s="190">
        <f>'[5]Т03'!$J$150+'[5]Т03'!$J$193</f>
        <v>414</v>
      </c>
      <c r="AK28" s="117">
        <f t="shared" si="22"/>
        <v>4985.872</v>
      </c>
      <c r="AL28" s="122">
        <f t="shared" si="23"/>
        <v>1488.3200000000002</v>
      </c>
      <c r="AM28" s="122">
        <f t="shared" si="24"/>
        <v>7441.6</v>
      </c>
      <c r="AN28" s="122">
        <f t="shared" si="25"/>
        <v>1562.736</v>
      </c>
      <c r="AO28" s="122">
        <f aca="true" t="shared" si="32" ref="AO28:AO33">2.02*B28</f>
        <v>15032.032000000001</v>
      </c>
      <c r="AP28" s="122">
        <f t="shared" si="26"/>
        <v>7664.848000000001</v>
      </c>
      <c r="AQ28" s="122">
        <f t="shared" si="27"/>
        <v>5581.200000000001</v>
      </c>
      <c r="AR28" s="122">
        <f t="shared" si="28"/>
        <v>5581.200000000001</v>
      </c>
      <c r="AS28" s="218">
        <f>B28*1.15</f>
        <v>8557.84</v>
      </c>
      <c r="AT28" s="192">
        <f>0.45*1739.8</f>
        <v>782.91</v>
      </c>
      <c r="AU28" s="428">
        <v>1870</v>
      </c>
      <c r="AV28" s="191"/>
      <c r="AW28" s="191">
        <v>554.76</v>
      </c>
      <c r="AX28" s="191">
        <f>100+216.41+450</f>
        <v>766.41</v>
      </c>
      <c r="AY28" s="191"/>
      <c r="AZ28" s="101">
        <v>25324.455</v>
      </c>
      <c r="BA28" s="101"/>
      <c r="BB28" s="101"/>
      <c r="BC28" s="425">
        <f>SUM(AK28:BB28)</f>
        <v>87194.18300000002</v>
      </c>
      <c r="BD28" s="193">
        <f>'[5]Т03'!$S$150+'[5]Т03'!$S$193</f>
        <v>103.5</v>
      </c>
      <c r="BE28" s="127">
        <f t="shared" si="29"/>
        <v>87297.68300000002</v>
      </c>
      <c r="BF28" s="128">
        <f t="shared" si="30"/>
        <v>-3743.9650000000256</v>
      </c>
      <c r="BG28" s="128">
        <f t="shared" si="31"/>
        <v>-14176.26000000001</v>
      </c>
    </row>
    <row r="29" spans="1:59" ht="12.75">
      <c r="A29" s="163" t="s">
        <v>48</v>
      </c>
      <c r="B29" s="129">
        <v>7441.6</v>
      </c>
      <c r="C29" s="107">
        <f>B29*8.55</f>
        <v>63625.68000000001</v>
      </c>
      <c r="D29" s="426">
        <v>634.848</v>
      </c>
      <c r="E29" s="204"/>
      <c r="F29" s="204"/>
      <c r="G29" s="204">
        <v>40143.94</v>
      </c>
      <c r="H29" s="204"/>
      <c r="I29" s="204"/>
      <c r="J29" s="204"/>
      <c r="K29" s="204"/>
      <c r="L29" s="204"/>
      <c r="M29" s="204">
        <v>19582.94</v>
      </c>
      <c r="N29" s="204"/>
      <c r="O29" s="204">
        <v>6804.05</v>
      </c>
      <c r="P29" s="204"/>
      <c r="Q29" s="204">
        <v>26388.49</v>
      </c>
      <c r="R29" s="204"/>
      <c r="S29" s="205">
        <v>600</v>
      </c>
      <c r="T29" s="221"/>
      <c r="U29" s="216">
        <f t="shared" si="16"/>
        <v>93519.42000000001</v>
      </c>
      <c r="V29" s="217">
        <f t="shared" si="17"/>
        <v>0</v>
      </c>
      <c r="W29" s="219">
        <v>0</v>
      </c>
      <c r="X29" s="219">
        <v>51911.05</v>
      </c>
      <c r="Y29" s="219">
        <v>0</v>
      </c>
      <c r="Z29" s="219">
        <v>0</v>
      </c>
      <c r="AA29" s="219">
        <v>16760.03</v>
      </c>
      <c r="AB29" s="219">
        <v>5821.69</v>
      </c>
      <c r="AC29" s="219"/>
      <c r="AD29" s="219">
        <v>34407.61</v>
      </c>
      <c r="AE29" s="220">
        <v>409.98</v>
      </c>
      <c r="AF29" s="203">
        <f t="shared" si="18"/>
        <v>109310.36</v>
      </c>
      <c r="AG29" s="209">
        <f t="shared" si="19"/>
        <v>109945.208</v>
      </c>
      <c r="AH29" s="189">
        <f t="shared" si="20"/>
        <v>0</v>
      </c>
      <c r="AI29" s="189">
        <f t="shared" si="21"/>
        <v>34407.61</v>
      </c>
      <c r="AJ29" s="190">
        <f>'[5]Т04'!$J$150+'[5]Т04'!$J$193</f>
        <v>214</v>
      </c>
      <c r="AK29" s="117">
        <f t="shared" si="22"/>
        <v>4985.872</v>
      </c>
      <c r="AL29" s="122">
        <f t="shared" si="23"/>
        <v>1488.3200000000002</v>
      </c>
      <c r="AM29" s="122">
        <f t="shared" si="24"/>
        <v>7441.6</v>
      </c>
      <c r="AN29" s="122">
        <f t="shared" si="25"/>
        <v>1562.736</v>
      </c>
      <c r="AO29" s="122">
        <f t="shared" si="32"/>
        <v>15032.032000000001</v>
      </c>
      <c r="AP29" s="122">
        <f t="shared" si="26"/>
        <v>7664.848000000001</v>
      </c>
      <c r="AQ29" s="122">
        <f t="shared" si="27"/>
        <v>5581.200000000001</v>
      </c>
      <c r="AR29" s="122">
        <f t="shared" si="28"/>
        <v>5581.200000000001</v>
      </c>
      <c r="AS29" s="218"/>
      <c r="AT29" s="192">
        <f>0.45*1739.8</f>
        <v>782.91</v>
      </c>
      <c r="AU29" s="428"/>
      <c r="AV29" s="191"/>
      <c r="AW29" s="191">
        <v>16939</v>
      </c>
      <c r="AX29" s="191">
        <f>664.7+1321.875</f>
        <v>1986.575</v>
      </c>
      <c r="AY29" s="191"/>
      <c r="AZ29" s="101">
        <v>25919.3792</v>
      </c>
      <c r="BA29" s="101"/>
      <c r="BB29" s="101"/>
      <c r="BC29" s="425">
        <f>SUM(AK29:BB29)</f>
        <v>94965.6722</v>
      </c>
      <c r="BD29" s="193">
        <f>'[5]Т04'!$S$150+'[5]Т04'!$S$193</f>
        <v>53.5</v>
      </c>
      <c r="BE29" s="127">
        <f t="shared" si="29"/>
        <v>95019.1722</v>
      </c>
      <c r="BF29" s="128">
        <f t="shared" si="30"/>
        <v>15140.035799999998</v>
      </c>
      <c r="BG29" s="128">
        <f t="shared" si="31"/>
        <v>15790.939999999988</v>
      </c>
    </row>
    <row r="30" spans="1:59" ht="12.75">
      <c r="A30" s="163" t="s">
        <v>49</v>
      </c>
      <c r="B30" s="129">
        <v>7441.6</v>
      </c>
      <c r="C30" s="107">
        <f>B30*8.55</f>
        <v>63625.68000000001</v>
      </c>
      <c r="D30" s="426">
        <v>634.848</v>
      </c>
      <c r="E30" s="204"/>
      <c r="F30" s="204"/>
      <c r="G30" s="204">
        <v>39975.28</v>
      </c>
      <c r="H30" s="204"/>
      <c r="I30" s="204"/>
      <c r="J30" s="204"/>
      <c r="K30" s="204"/>
      <c r="L30" s="204"/>
      <c r="M30" s="204">
        <v>19584.11</v>
      </c>
      <c r="N30" s="204"/>
      <c r="O30" s="204">
        <v>6804.45</v>
      </c>
      <c r="P30" s="204"/>
      <c r="Q30" s="204">
        <v>32854.26</v>
      </c>
      <c r="R30" s="204"/>
      <c r="S30" s="205">
        <v>600</v>
      </c>
      <c r="T30" s="221"/>
      <c r="U30" s="216">
        <f t="shared" si="16"/>
        <v>99818.1</v>
      </c>
      <c r="V30" s="217">
        <f t="shared" si="17"/>
        <v>0</v>
      </c>
      <c r="W30" s="219">
        <v>0</v>
      </c>
      <c r="X30" s="219">
        <v>39492.47</v>
      </c>
      <c r="Y30" s="219">
        <v>0</v>
      </c>
      <c r="Z30" s="219">
        <v>0</v>
      </c>
      <c r="AA30" s="219">
        <v>16961.45</v>
      </c>
      <c r="AB30" s="219">
        <v>5848.02</v>
      </c>
      <c r="AC30" s="219"/>
      <c r="AD30" s="219">
        <v>25700.01</v>
      </c>
      <c r="AE30" s="219">
        <v>412.08</v>
      </c>
      <c r="AF30" s="203">
        <f t="shared" si="18"/>
        <v>88414.03</v>
      </c>
      <c r="AG30" s="209">
        <f t="shared" si="19"/>
        <v>89048.878</v>
      </c>
      <c r="AH30" s="189">
        <f t="shared" si="20"/>
        <v>0</v>
      </c>
      <c r="AI30" s="189">
        <f t="shared" si="21"/>
        <v>25700.01</v>
      </c>
      <c r="AJ30" s="190">
        <f>'[5]Т05'!$J$150+'[5]Т05'!$J$199</f>
        <v>214</v>
      </c>
      <c r="AK30" s="117">
        <f t="shared" si="22"/>
        <v>4985.872</v>
      </c>
      <c r="AL30" s="122">
        <f t="shared" si="23"/>
        <v>1488.3200000000002</v>
      </c>
      <c r="AM30" s="122">
        <f t="shared" si="24"/>
        <v>7441.6</v>
      </c>
      <c r="AN30" s="122">
        <f t="shared" si="25"/>
        <v>1562.736</v>
      </c>
      <c r="AO30" s="122">
        <f t="shared" si="32"/>
        <v>15032.032000000001</v>
      </c>
      <c r="AP30" s="122">
        <f t="shared" si="26"/>
        <v>7664.848000000001</v>
      </c>
      <c r="AQ30" s="122">
        <f t="shared" si="27"/>
        <v>5581.200000000001</v>
      </c>
      <c r="AR30" s="122">
        <f t="shared" si="28"/>
        <v>5581.200000000001</v>
      </c>
      <c r="AS30" s="218"/>
      <c r="AT30" s="192">
        <f>0.45*1739.8</f>
        <v>782.91</v>
      </c>
      <c r="AU30" s="428">
        <v>539</v>
      </c>
      <c r="AV30" s="191"/>
      <c r="AW30" s="191"/>
      <c r="AX30" s="191">
        <f>216+59.85</f>
        <v>275.85</v>
      </c>
      <c r="AY30" s="191"/>
      <c r="AZ30" s="101">
        <v>29906.96</v>
      </c>
      <c r="BA30" s="101"/>
      <c r="BB30" s="101"/>
      <c r="BC30" s="425">
        <f>SUM(AK30:BB30)</f>
        <v>80842.528</v>
      </c>
      <c r="BD30" s="193">
        <f>'[5]Т06'!$S$151+'[5]Т06'!$S$230</f>
        <v>53.5</v>
      </c>
      <c r="BE30" s="127">
        <f t="shared" si="29"/>
        <v>80896.028</v>
      </c>
      <c r="BF30" s="128">
        <f t="shared" si="30"/>
        <v>8366.849999999991</v>
      </c>
      <c r="BG30" s="128">
        <f t="shared" si="31"/>
        <v>-11404.070000000007</v>
      </c>
    </row>
    <row r="31" spans="1:59" ht="12.75">
      <c r="A31" s="163" t="s">
        <v>50</v>
      </c>
      <c r="B31" s="129">
        <v>7441.6</v>
      </c>
      <c r="C31" s="107">
        <f>B31*8.55</f>
        <v>63625.68000000001</v>
      </c>
      <c r="D31" s="426">
        <v>634.848</v>
      </c>
      <c r="E31" s="204"/>
      <c r="F31" s="204"/>
      <c r="G31" s="204">
        <v>40143.65</v>
      </c>
      <c r="H31" s="204"/>
      <c r="I31" s="204"/>
      <c r="J31" s="204"/>
      <c r="K31" s="204"/>
      <c r="L31" s="204"/>
      <c r="M31" s="204">
        <v>19582.81</v>
      </c>
      <c r="N31" s="204"/>
      <c r="O31" s="204">
        <v>6804</v>
      </c>
      <c r="P31" s="204"/>
      <c r="Q31" s="204">
        <v>32854.28</v>
      </c>
      <c r="R31" s="204"/>
      <c r="S31" s="205">
        <v>600</v>
      </c>
      <c r="T31" s="221"/>
      <c r="U31" s="216">
        <f t="shared" si="16"/>
        <v>99984.74</v>
      </c>
      <c r="V31" s="217">
        <f t="shared" si="17"/>
        <v>0</v>
      </c>
      <c r="W31" s="219"/>
      <c r="X31" s="429">
        <v>32699.2</v>
      </c>
      <c r="Y31" s="219"/>
      <c r="Z31" s="219"/>
      <c r="AA31" s="429">
        <v>14730.27</v>
      </c>
      <c r="AB31" s="429">
        <v>5012.56</v>
      </c>
      <c r="AC31" s="219"/>
      <c r="AD31" s="429">
        <v>23967.47</v>
      </c>
      <c r="AE31" s="430">
        <v>398.77</v>
      </c>
      <c r="AF31" s="203">
        <f t="shared" si="18"/>
        <v>76808.27</v>
      </c>
      <c r="AG31" s="209">
        <f t="shared" si="19"/>
        <v>77443.118</v>
      </c>
      <c r="AH31" s="189">
        <f t="shared" si="20"/>
        <v>0</v>
      </c>
      <c r="AI31" s="189">
        <f t="shared" si="21"/>
        <v>23967.47</v>
      </c>
      <c r="AJ31" s="190">
        <f>'[5]Т06'!$J$151+'[5]Т06'!$J$230</f>
        <v>214</v>
      </c>
      <c r="AK31" s="117">
        <f t="shared" si="22"/>
        <v>4985.872</v>
      </c>
      <c r="AL31" s="122">
        <f t="shared" si="23"/>
        <v>1488.3200000000002</v>
      </c>
      <c r="AM31" s="122">
        <f t="shared" si="24"/>
        <v>7441.6</v>
      </c>
      <c r="AN31" s="122">
        <f t="shared" si="25"/>
        <v>1562.736</v>
      </c>
      <c r="AO31" s="122">
        <f t="shared" si="32"/>
        <v>15032.032000000001</v>
      </c>
      <c r="AP31" s="122">
        <f t="shared" si="26"/>
        <v>7664.848000000001</v>
      </c>
      <c r="AQ31" s="122">
        <f t="shared" si="27"/>
        <v>5581.200000000001</v>
      </c>
      <c r="AR31" s="122">
        <f t="shared" si="28"/>
        <v>5581.200000000001</v>
      </c>
      <c r="AS31" s="218"/>
      <c r="AT31" s="192">
        <f>0.45*1739.8</f>
        <v>782.91</v>
      </c>
      <c r="AU31" s="428">
        <v>3069</v>
      </c>
      <c r="AV31" s="191"/>
      <c r="AW31" s="191"/>
      <c r="AX31" s="191">
        <f>335+556+119.7</f>
        <v>1010.7</v>
      </c>
      <c r="AY31" s="191"/>
      <c r="AZ31" s="101">
        <f>29906.976</f>
        <v>29906.976</v>
      </c>
      <c r="BA31" s="101"/>
      <c r="BB31" s="101"/>
      <c r="BC31" s="425">
        <f>SUM(AK31:BB31)</f>
        <v>84107.394</v>
      </c>
      <c r="BD31" s="193">
        <f>'[5]Т06'!$S$151+'[5]Т06'!$S$230</f>
        <v>53.5</v>
      </c>
      <c r="BE31" s="127">
        <f t="shared" si="29"/>
        <v>84160.894</v>
      </c>
      <c r="BF31" s="128">
        <f t="shared" si="30"/>
        <v>-6503.775999999998</v>
      </c>
      <c r="BG31" s="128">
        <f t="shared" si="31"/>
        <v>-23176.47</v>
      </c>
    </row>
    <row r="32" spans="1:59" ht="12.75">
      <c r="A32" s="163" t="s">
        <v>51</v>
      </c>
      <c r="B32" s="129">
        <v>7441.6</v>
      </c>
      <c r="C32" s="427">
        <f>B32*9.51+6705.6*4.76</f>
        <v>102688.27200000001</v>
      </c>
      <c r="D32" s="426">
        <v>849.576</v>
      </c>
      <c r="E32" s="204"/>
      <c r="F32" s="204"/>
      <c r="G32" s="204">
        <v>71907.33</v>
      </c>
      <c r="H32" s="204"/>
      <c r="I32" s="204"/>
      <c r="J32" s="204"/>
      <c r="K32" s="204"/>
      <c r="L32" s="204"/>
      <c r="M32" s="204"/>
      <c r="N32" s="204"/>
      <c r="O32" s="204"/>
      <c r="P32" s="204"/>
      <c r="Q32" s="204">
        <v>32854.27</v>
      </c>
      <c r="R32" s="204"/>
      <c r="S32" s="205">
        <v>600</v>
      </c>
      <c r="T32" s="221"/>
      <c r="U32" s="216">
        <f aca="true" t="shared" si="33" ref="U32:U37">G32+M32+O32+Q32+S32</f>
        <v>105361.6</v>
      </c>
      <c r="V32" s="431">
        <f aca="true" t="shared" si="34" ref="V32:V37">H32+N32+P32+R32+T32</f>
        <v>0</v>
      </c>
      <c r="W32" s="219"/>
      <c r="X32" s="197">
        <v>36472.5</v>
      </c>
      <c r="Y32" s="219"/>
      <c r="Z32" s="219"/>
      <c r="AA32" s="197">
        <v>15723.69</v>
      </c>
      <c r="AB32" s="197">
        <v>5408.61</v>
      </c>
      <c r="AC32" s="219"/>
      <c r="AD32" s="197">
        <v>26661.14</v>
      </c>
      <c r="AE32" s="202">
        <v>596.55</v>
      </c>
      <c r="AF32" s="203">
        <f aca="true" t="shared" si="35" ref="AF32:AF37">SUM(X32:AE32)</f>
        <v>84862.49</v>
      </c>
      <c r="AG32" s="209">
        <f t="shared" si="19"/>
        <v>85712.066</v>
      </c>
      <c r="AH32" s="432">
        <v>0</v>
      </c>
      <c r="AI32" s="189">
        <f t="shared" si="21"/>
        <v>26661.14</v>
      </c>
      <c r="AJ32" s="190">
        <f>'[5]Т07'!$J$153+'[5]Т07'!$J$232</f>
        <v>214</v>
      </c>
      <c r="AK32" s="122">
        <f>0.75*B32</f>
        <v>5581.200000000001</v>
      </c>
      <c r="AL32" s="122">
        <f t="shared" si="23"/>
        <v>1488.3200000000002</v>
      </c>
      <c r="AM32" s="122">
        <f t="shared" si="24"/>
        <v>7441.6</v>
      </c>
      <c r="AN32" s="122">
        <f t="shared" si="25"/>
        <v>1562.736</v>
      </c>
      <c r="AO32" s="122">
        <f t="shared" si="32"/>
        <v>15032.032000000001</v>
      </c>
      <c r="AP32" s="122">
        <f t="shared" si="26"/>
        <v>7664.848000000001</v>
      </c>
      <c r="AQ32" s="122">
        <f t="shared" si="27"/>
        <v>5581.200000000001</v>
      </c>
      <c r="AR32" s="122">
        <f t="shared" si="28"/>
        <v>5581.200000000001</v>
      </c>
      <c r="AS32" s="218"/>
      <c r="AT32" s="192">
        <f>0.45*1739.8</f>
        <v>782.91</v>
      </c>
      <c r="AU32" s="428">
        <v>422</v>
      </c>
      <c r="AV32" s="191"/>
      <c r="AW32" s="191"/>
      <c r="AX32" s="191">
        <f>97.5+1700+33.32</f>
        <v>1830.82</v>
      </c>
      <c r="AY32" s="191"/>
      <c r="AZ32" s="101">
        <f>29906.976</f>
        <v>29906.976</v>
      </c>
      <c r="BA32" s="101"/>
      <c r="BB32" s="101"/>
      <c r="BC32" s="425">
        <f>SUM(AK32:BB32)</f>
        <v>82875.842</v>
      </c>
      <c r="BD32" s="193">
        <f>'[5]Т07'!$S$153+'[5]Т07'!$S$232</f>
        <v>53.5</v>
      </c>
      <c r="BE32" s="127">
        <f t="shared" si="29"/>
        <v>82929.342</v>
      </c>
      <c r="BF32" s="128">
        <f t="shared" si="30"/>
        <v>2996.724000000002</v>
      </c>
      <c r="BG32" s="128">
        <f t="shared" si="31"/>
        <v>-20499.11</v>
      </c>
    </row>
    <row r="33" spans="1:59" ht="12.75">
      <c r="A33" s="163" t="s">
        <v>52</v>
      </c>
      <c r="B33" s="129">
        <v>7441.6</v>
      </c>
      <c r="C33" s="427">
        <f>B33*9.51+6705.6*4.76</f>
        <v>102688.27200000001</v>
      </c>
      <c r="D33" s="426"/>
      <c r="E33" s="204"/>
      <c r="F33" s="204"/>
      <c r="G33" s="204">
        <v>71930.63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>
        <v>32854.26</v>
      </c>
      <c r="R33" s="204"/>
      <c r="S33" s="205">
        <v>600</v>
      </c>
      <c r="T33" s="221"/>
      <c r="U33" s="216">
        <f t="shared" si="33"/>
        <v>105384.89000000001</v>
      </c>
      <c r="V33" s="431">
        <f t="shared" si="34"/>
        <v>0</v>
      </c>
      <c r="W33" s="219"/>
      <c r="X33" s="197">
        <v>52156.37</v>
      </c>
      <c r="Y33" s="219"/>
      <c r="Z33" s="219"/>
      <c r="AA33" s="197">
        <v>2838.23</v>
      </c>
      <c r="AB33" s="197">
        <v>788.32</v>
      </c>
      <c r="AC33" s="219"/>
      <c r="AD33" s="197">
        <v>24000.08</v>
      </c>
      <c r="AE33" s="202">
        <v>399.28</v>
      </c>
      <c r="AF33" s="203">
        <f t="shared" si="35"/>
        <v>80182.28</v>
      </c>
      <c r="AG33" s="209">
        <f t="shared" si="19"/>
        <v>80182.28</v>
      </c>
      <c r="AH33" s="432">
        <v>0</v>
      </c>
      <c r="AI33" s="189">
        <f t="shared" si="21"/>
        <v>24000.08</v>
      </c>
      <c r="AJ33" s="190">
        <f>'[5]Т08'!$J$153+'[5]Т08'!$J$232+'[5]Т08'!$J$315</f>
        <v>1414</v>
      </c>
      <c r="AK33" s="122">
        <f>0.75*B33</f>
        <v>5581.200000000001</v>
      </c>
      <c r="AL33" s="122">
        <f t="shared" si="23"/>
        <v>1488.3200000000002</v>
      </c>
      <c r="AM33" s="122">
        <f t="shared" si="24"/>
        <v>7441.6</v>
      </c>
      <c r="AN33" s="122">
        <f t="shared" si="25"/>
        <v>1562.736</v>
      </c>
      <c r="AO33" s="122">
        <f t="shared" si="32"/>
        <v>15032.032000000001</v>
      </c>
      <c r="AP33" s="122">
        <f t="shared" si="26"/>
        <v>7664.848000000001</v>
      </c>
      <c r="AQ33" s="122">
        <f t="shared" si="27"/>
        <v>5581.200000000001</v>
      </c>
      <c r="AR33" s="122">
        <f t="shared" si="28"/>
        <v>5581.200000000001</v>
      </c>
      <c r="AS33" s="218"/>
      <c r="AT33" s="192">
        <f>0.45*1739.8</f>
        <v>782.91</v>
      </c>
      <c r="AU33" s="428"/>
      <c r="AV33" s="191"/>
      <c r="AW33" s="191"/>
      <c r="AX33" s="191">
        <v>5178.89</v>
      </c>
      <c r="AY33" s="191"/>
      <c r="AZ33" s="101">
        <f>29906.976-249.2248-241.1853</f>
        <v>29416.565899999998</v>
      </c>
      <c r="BA33" s="101"/>
      <c r="BB33" s="101"/>
      <c r="BC33" s="425">
        <f>SUM(AK33:BB33)</f>
        <v>85311.5019</v>
      </c>
      <c r="BD33" s="193">
        <f>'[5]Т08'!$S$153+'[5]Т08'!$S$232+'[5]Т08'!$S$315</f>
        <v>353.5</v>
      </c>
      <c r="BE33" s="127">
        <f t="shared" si="29"/>
        <v>85665.0019</v>
      </c>
      <c r="BF33" s="128">
        <f t="shared" si="30"/>
        <v>-4068.721900000004</v>
      </c>
      <c r="BG33" s="128">
        <f t="shared" si="31"/>
        <v>-25202.610000000015</v>
      </c>
    </row>
    <row r="34" spans="1:59" ht="12.75">
      <c r="A34" s="163" t="s">
        <v>53</v>
      </c>
      <c r="B34" s="129">
        <v>7441.6</v>
      </c>
      <c r="C34" s="427">
        <f>B34*9.51+6705.6*4.76</f>
        <v>102688.27200000001</v>
      </c>
      <c r="D34" s="426"/>
      <c r="E34" s="204"/>
      <c r="F34" s="204"/>
      <c r="G34" s="204">
        <v>71953.21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>
        <v>32440.47</v>
      </c>
      <c r="R34" s="204"/>
      <c r="S34" s="205">
        <v>600</v>
      </c>
      <c r="T34" s="221"/>
      <c r="U34" s="216">
        <f t="shared" si="33"/>
        <v>104993.68000000001</v>
      </c>
      <c r="V34" s="431">
        <f t="shared" si="34"/>
        <v>0</v>
      </c>
      <c r="W34" s="219"/>
      <c r="X34" s="197">
        <v>69183.76</v>
      </c>
      <c r="Y34" s="219"/>
      <c r="Z34" s="219"/>
      <c r="AA34" s="197">
        <v>3971.19</v>
      </c>
      <c r="AB34" s="197">
        <v>1369.39</v>
      </c>
      <c r="AC34" s="219"/>
      <c r="AD34" s="197">
        <v>32470.48</v>
      </c>
      <c r="AE34" s="202">
        <v>491.75</v>
      </c>
      <c r="AF34" s="203">
        <f t="shared" si="35"/>
        <v>107486.56999999999</v>
      </c>
      <c r="AG34" s="209">
        <f t="shared" si="19"/>
        <v>107486.56999999999</v>
      </c>
      <c r="AH34" s="432">
        <v>0</v>
      </c>
      <c r="AI34" s="189">
        <f t="shared" si="21"/>
        <v>32470.48</v>
      </c>
      <c r="AJ34" s="190">
        <f>'[5]Т09'!$J$156+'[5]Т09'!$J$232+'[5]Т09'!$J$315</f>
        <v>614</v>
      </c>
      <c r="AK34" s="122">
        <f>0.75*B34</f>
        <v>5581.200000000001</v>
      </c>
      <c r="AL34" s="122">
        <f t="shared" si="23"/>
        <v>1488.3200000000002</v>
      </c>
      <c r="AM34" s="122">
        <f t="shared" si="24"/>
        <v>7441.6</v>
      </c>
      <c r="AN34" s="122">
        <f t="shared" si="25"/>
        <v>1562.736</v>
      </c>
      <c r="AO34" s="122">
        <f>2.02*B34</f>
        <v>15032.032000000001</v>
      </c>
      <c r="AP34" s="122">
        <f t="shared" si="26"/>
        <v>7664.848000000001</v>
      </c>
      <c r="AQ34" s="122">
        <f t="shared" si="27"/>
        <v>5581.200000000001</v>
      </c>
      <c r="AR34" s="122">
        <f t="shared" si="28"/>
        <v>5581.200000000001</v>
      </c>
      <c r="AS34" s="218"/>
      <c r="AT34" s="192">
        <f>0.45*1739.8+10438.8</f>
        <v>11221.71</v>
      </c>
      <c r="AU34" s="428">
        <v>4325</v>
      </c>
      <c r="AV34" s="191"/>
      <c r="AW34" s="191"/>
      <c r="AX34" s="191">
        <f>1403</f>
        <v>1403</v>
      </c>
      <c r="AY34" s="191"/>
      <c r="AZ34" s="101">
        <f>29906.976</f>
        <v>29906.976</v>
      </c>
      <c r="BA34" s="101"/>
      <c r="BB34" s="101"/>
      <c r="BC34" s="425">
        <f>SUM(AK34:BB34)</f>
        <v>96789.82199999999</v>
      </c>
      <c r="BD34" s="193">
        <f>'[5]Т09'!$S$156+'[5]Т09'!$S$232+'[5]Т09'!$S$315</f>
        <v>153.5</v>
      </c>
      <c r="BE34" s="127">
        <f t="shared" si="29"/>
        <v>96943.32199999999</v>
      </c>
      <c r="BF34" s="128">
        <f t="shared" si="30"/>
        <v>11157.248000000007</v>
      </c>
      <c r="BG34" s="128">
        <f t="shared" si="31"/>
        <v>2492.889999999985</v>
      </c>
    </row>
    <row r="35" spans="1:59" ht="12.75">
      <c r="A35" s="163" t="s">
        <v>41</v>
      </c>
      <c r="B35" s="129">
        <v>7441.6</v>
      </c>
      <c r="C35" s="427">
        <f>B35*9.51+6705.6*4.76</f>
        <v>102688.27200000001</v>
      </c>
      <c r="D35" s="426"/>
      <c r="E35" s="204"/>
      <c r="F35" s="204"/>
      <c r="G35" s="204">
        <v>71997.55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>
        <v>32854.28</v>
      </c>
      <c r="R35" s="204"/>
      <c r="S35" s="205">
        <v>600</v>
      </c>
      <c r="T35" s="221"/>
      <c r="U35" s="216">
        <f t="shared" si="33"/>
        <v>105451.83</v>
      </c>
      <c r="V35" s="431">
        <f t="shared" si="34"/>
        <v>0</v>
      </c>
      <c r="W35" s="219"/>
      <c r="X35" s="197">
        <v>73040.55</v>
      </c>
      <c r="Y35" s="219"/>
      <c r="Z35" s="219"/>
      <c r="AA35" s="197">
        <v>2306.97</v>
      </c>
      <c r="AB35" s="197">
        <v>876.33</v>
      </c>
      <c r="AC35" s="219"/>
      <c r="AD35" s="197">
        <v>31207.13</v>
      </c>
      <c r="AE35" s="202">
        <v>500.76</v>
      </c>
      <c r="AF35" s="203">
        <f t="shared" si="35"/>
        <v>107931.74</v>
      </c>
      <c r="AG35" s="209">
        <f t="shared" si="19"/>
        <v>107931.74</v>
      </c>
      <c r="AH35" s="432">
        <v>0</v>
      </c>
      <c r="AI35" s="189">
        <f t="shared" si="21"/>
        <v>31207.13</v>
      </c>
      <c r="AJ35" s="190">
        <f>'[5]Т10'!$J$155+'[5]Т10'!$J$231+'[5]Т10'!$J$314</f>
        <v>614</v>
      </c>
      <c r="AK35" s="122">
        <f>0.75*B35</f>
        <v>5581.200000000001</v>
      </c>
      <c r="AL35" s="122">
        <f t="shared" si="23"/>
        <v>1488.3200000000002</v>
      </c>
      <c r="AM35" s="122">
        <f t="shared" si="24"/>
        <v>7441.6</v>
      </c>
      <c r="AN35" s="122">
        <f t="shared" si="25"/>
        <v>1562.736</v>
      </c>
      <c r="AO35" s="433">
        <f>2.02*B35</f>
        <v>15032.032000000001</v>
      </c>
      <c r="AP35" s="122">
        <f t="shared" si="26"/>
        <v>7664.848000000001</v>
      </c>
      <c r="AQ35" s="122">
        <f t="shared" si="27"/>
        <v>5581.200000000001</v>
      </c>
      <c r="AR35" s="122">
        <f t="shared" si="28"/>
        <v>5581.200000000001</v>
      </c>
      <c r="AS35" s="218">
        <f>B35*1.15</f>
        <v>8557.84</v>
      </c>
      <c r="AT35" s="192">
        <f>0.45*1739.8</f>
        <v>782.91</v>
      </c>
      <c r="AU35" s="434">
        <v>2166</v>
      </c>
      <c r="AV35" s="191"/>
      <c r="AW35" s="191">
        <v>318</v>
      </c>
      <c r="AX35" s="435">
        <f>536+600+405.9+140+3101.4+130+7552.8+42.75+81+135+2385+232.02+333.3333+5748.4375</f>
        <v>21423.6408</v>
      </c>
      <c r="AY35" s="435"/>
      <c r="AZ35" s="101">
        <f>29906.976</f>
        <v>29906.976</v>
      </c>
      <c r="BA35" s="101"/>
      <c r="BB35" s="101"/>
      <c r="BC35" s="425">
        <f>SUM(AK35:BB35)</f>
        <v>113088.50279999999</v>
      </c>
      <c r="BD35" s="193">
        <f>'[5]Т10'!$S$155+'[5]Т10'!$S$231+'[5]Т10'!$S$314</f>
        <v>153.5</v>
      </c>
      <c r="BE35" s="127">
        <f t="shared" si="29"/>
        <v>113242.00279999999</v>
      </c>
      <c r="BF35" s="128">
        <f t="shared" si="30"/>
        <v>-4696.262799999982</v>
      </c>
      <c r="BG35" s="128">
        <f t="shared" si="31"/>
        <v>2479.9100000000035</v>
      </c>
    </row>
    <row r="36" spans="1:59" ht="12.75">
      <c r="A36" s="163" t="s">
        <v>42</v>
      </c>
      <c r="B36" s="436">
        <v>7441.6</v>
      </c>
      <c r="C36" s="427">
        <f>B36*9.51+6705.6*4.76</f>
        <v>102688.27200000001</v>
      </c>
      <c r="D36" s="426"/>
      <c r="E36" s="204"/>
      <c r="F36" s="204"/>
      <c r="G36" s="197">
        <v>72038.69</v>
      </c>
      <c r="H36" s="197"/>
      <c r="I36" s="204"/>
      <c r="J36" s="204"/>
      <c r="K36" s="204"/>
      <c r="L36" s="204"/>
      <c r="M36" s="197"/>
      <c r="N36" s="197"/>
      <c r="O36" s="197"/>
      <c r="P36" s="197"/>
      <c r="Q36" s="197">
        <v>32026.61</v>
      </c>
      <c r="R36" s="197"/>
      <c r="S36" s="202">
        <v>600</v>
      </c>
      <c r="T36" s="221"/>
      <c r="U36" s="216">
        <f t="shared" si="33"/>
        <v>104665.3</v>
      </c>
      <c r="V36" s="431">
        <f t="shared" si="34"/>
        <v>0</v>
      </c>
      <c r="W36" s="219"/>
      <c r="X36" s="197">
        <v>69111.51</v>
      </c>
      <c r="Y36" s="219"/>
      <c r="Z36" s="219"/>
      <c r="AA36" s="197">
        <v>575.06</v>
      </c>
      <c r="AB36" s="197">
        <v>285</v>
      </c>
      <c r="AC36" s="219"/>
      <c r="AD36" s="197">
        <v>31125.89</v>
      </c>
      <c r="AE36" s="202">
        <v>512.48</v>
      </c>
      <c r="AF36" s="203">
        <f t="shared" si="35"/>
        <v>101609.93999999999</v>
      </c>
      <c r="AG36" s="209">
        <f t="shared" si="19"/>
        <v>101609.93999999999</v>
      </c>
      <c r="AH36" s="432">
        <v>0</v>
      </c>
      <c r="AI36" s="189">
        <f t="shared" si="21"/>
        <v>31125.89</v>
      </c>
      <c r="AJ36" s="190">
        <f>'[5]Т11'!$J$157+'[5]Т11'!$J$233+'[5]Т11'!$J$316</f>
        <v>614</v>
      </c>
      <c r="AK36" s="122">
        <f>0.75*B36</f>
        <v>5581.200000000001</v>
      </c>
      <c r="AL36" s="122">
        <f t="shared" si="23"/>
        <v>1488.3200000000002</v>
      </c>
      <c r="AM36" s="122">
        <f t="shared" si="24"/>
        <v>7441.6</v>
      </c>
      <c r="AN36" s="122">
        <f t="shared" si="25"/>
        <v>1562.736</v>
      </c>
      <c r="AO36" s="433">
        <f>2.02*B36</f>
        <v>15032.032000000001</v>
      </c>
      <c r="AP36" s="122">
        <f t="shared" si="26"/>
        <v>7664.848000000001</v>
      </c>
      <c r="AQ36" s="122">
        <f t="shared" si="27"/>
        <v>5581.200000000001</v>
      </c>
      <c r="AR36" s="122">
        <f t="shared" si="28"/>
        <v>5581.200000000001</v>
      </c>
      <c r="AS36" s="218">
        <f>B36*1.15</f>
        <v>8557.84</v>
      </c>
      <c r="AT36" s="192">
        <f>0.45*1739.8</f>
        <v>782.91</v>
      </c>
      <c r="AU36" s="428"/>
      <c r="AV36" s="191"/>
      <c r="AW36" s="191"/>
      <c r="AX36" s="191">
        <f>1700</f>
        <v>1700</v>
      </c>
      <c r="AY36" s="191"/>
      <c r="AZ36" s="101">
        <f>29906.976</f>
        <v>29906.976</v>
      </c>
      <c r="BA36" s="101"/>
      <c r="BB36" s="101"/>
      <c r="BC36" s="425">
        <f>SUM(AK36:BB36)</f>
        <v>90880.862</v>
      </c>
      <c r="BD36" s="193">
        <f>'[5]Т11'!$S$233+'[5]Т11'!$S$157+'[5]Т11'!$S$316</f>
        <v>153.5</v>
      </c>
      <c r="BE36" s="127">
        <f t="shared" si="29"/>
        <v>91034.362</v>
      </c>
      <c r="BF36" s="128">
        <f t="shared" si="30"/>
        <v>11189.577999999994</v>
      </c>
      <c r="BG36" s="128">
        <f t="shared" si="31"/>
        <v>-3055.360000000015</v>
      </c>
    </row>
    <row r="37" spans="1:59" ht="13.5" thickBot="1">
      <c r="A37" s="163" t="s">
        <v>43</v>
      </c>
      <c r="B37" s="436">
        <v>7441.6</v>
      </c>
      <c r="C37" s="427">
        <f>B37*9.51+6705.6*4.76</f>
        <v>102688.27200000001</v>
      </c>
      <c r="D37" s="426"/>
      <c r="E37" s="197"/>
      <c r="F37" s="197"/>
      <c r="G37" s="197">
        <v>72052.89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>
        <v>28633.33</v>
      </c>
      <c r="R37" s="197"/>
      <c r="S37" s="202">
        <v>600</v>
      </c>
      <c r="T37" s="221"/>
      <c r="U37" s="216">
        <f t="shared" si="33"/>
        <v>101286.22</v>
      </c>
      <c r="V37" s="431">
        <f t="shared" si="34"/>
        <v>0</v>
      </c>
      <c r="W37" s="219"/>
      <c r="X37" s="197">
        <v>86202.25</v>
      </c>
      <c r="Y37" s="197"/>
      <c r="Z37" s="197"/>
      <c r="AA37" s="197">
        <v>1982.38</v>
      </c>
      <c r="AB37" s="197">
        <v>712.37</v>
      </c>
      <c r="AC37" s="197"/>
      <c r="AD37" s="197">
        <v>40421.84</v>
      </c>
      <c r="AE37" s="202">
        <v>2290.08</v>
      </c>
      <c r="AF37" s="203">
        <f t="shared" si="35"/>
        <v>131608.91999999998</v>
      </c>
      <c r="AG37" s="209">
        <f t="shared" si="19"/>
        <v>131608.91999999998</v>
      </c>
      <c r="AH37" s="432">
        <v>0</v>
      </c>
      <c r="AI37" s="189">
        <f t="shared" si="21"/>
        <v>40421.84</v>
      </c>
      <c r="AJ37" s="190">
        <f>'[5]Т12'!$J$159+'[5]Т12'!$J$235+'[5]Т12'!$J$318</f>
        <v>614</v>
      </c>
      <c r="AK37" s="122">
        <f>0.75*B37</f>
        <v>5581.200000000001</v>
      </c>
      <c r="AL37" s="122">
        <f t="shared" si="23"/>
        <v>1488.3200000000002</v>
      </c>
      <c r="AM37" s="122">
        <f t="shared" si="24"/>
        <v>7441.6</v>
      </c>
      <c r="AN37" s="122">
        <f t="shared" si="25"/>
        <v>1562.736</v>
      </c>
      <c r="AO37" s="433">
        <f>2.02*B37</f>
        <v>15032.032000000001</v>
      </c>
      <c r="AP37" s="122">
        <f t="shared" si="26"/>
        <v>7664.848000000001</v>
      </c>
      <c r="AQ37" s="122">
        <f t="shared" si="27"/>
        <v>5581.200000000001</v>
      </c>
      <c r="AR37" s="122">
        <f t="shared" si="28"/>
        <v>5581.200000000001</v>
      </c>
      <c r="AS37" s="218">
        <f>B37*1.15</f>
        <v>8557.84</v>
      </c>
      <c r="AT37" s="192">
        <f>0.45*1739.8</f>
        <v>782.91</v>
      </c>
      <c r="AU37" s="428">
        <v>254</v>
      </c>
      <c r="AV37" s="191"/>
      <c r="AW37" s="191"/>
      <c r="AX37" s="191">
        <f>400+103+600+9+63</f>
        <v>1175</v>
      </c>
      <c r="AY37" s="191"/>
      <c r="AZ37" s="101">
        <f>29906.976-1337.5</f>
        <v>28569.476</v>
      </c>
      <c r="BA37" s="101"/>
      <c r="BB37" s="101"/>
      <c r="BC37" s="425">
        <f>SUM(AK37:BB37)</f>
        <v>89272.362</v>
      </c>
      <c r="BD37" s="193">
        <f>'[5]Т12'!$S$159+'[5]Т12'!$S$235+'[5]Т12'!$S$318</f>
        <v>153.5</v>
      </c>
      <c r="BE37" s="127">
        <f t="shared" si="29"/>
        <v>89425.862</v>
      </c>
      <c r="BF37" s="128">
        <f t="shared" si="30"/>
        <v>42797.05799999999</v>
      </c>
      <c r="BG37" s="128">
        <f t="shared" si="31"/>
        <v>30322.699999999983</v>
      </c>
    </row>
    <row r="38" spans="1:59" s="20" customFormat="1" ht="13.5" thickBot="1">
      <c r="A38" s="222" t="s">
        <v>5</v>
      </c>
      <c r="B38" s="223"/>
      <c r="C38" s="224">
        <f aca="true" t="shared" si="36" ref="C38:BE38">SUM(C26:C37)</f>
        <v>1036946.304</v>
      </c>
      <c r="D38" s="224">
        <f t="shared" si="36"/>
        <v>4658.664</v>
      </c>
      <c r="E38" s="224">
        <f t="shared" si="36"/>
        <v>0</v>
      </c>
      <c r="F38" s="224">
        <f t="shared" si="36"/>
        <v>0</v>
      </c>
      <c r="G38" s="224">
        <f t="shared" si="36"/>
        <v>672500.0300000001</v>
      </c>
      <c r="H38" s="224">
        <f t="shared" si="36"/>
        <v>0</v>
      </c>
      <c r="I38" s="224">
        <f t="shared" si="36"/>
        <v>0</v>
      </c>
      <c r="J38" s="224">
        <f t="shared" si="36"/>
        <v>0</v>
      </c>
      <c r="K38" s="224">
        <f t="shared" si="36"/>
        <v>0</v>
      </c>
      <c r="L38" s="224">
        <f t="shared" si="36"/>
        <v>0</v>
      </c>
      <c r="M38" s="224">
        <f t="shared" si="36"/>
        <v>117461.92</v>
      </c>
      <c r="N38" s="224">
        <f t="shared" si="36"/>
        <v>0</v>
      </c>
      <c r="O38" s="224">
        <f t="shared" si="36"/>
        <v>40811.96</v>
      </c>
      <c r="P38" s="224">
        <f t="shared" si="36"/>
        <v>0</v>
      </c>
      <c r="Q38" s="224">
        <f t="shared" si="36"/>
        <v>364627.48000000004</v>
      </c>
      <c r="R38" s="224">
        <f t="shared" si="36"/>
        <v>0</v>
      </c>
      <c r="S38" s="224">
        <f t="shared" si="36"/>
        <v>7200</v>
      </c>
      <c r="T38" s="224">
        <f t="shared" si="36"/>
        <v>0</v>
      </c>
      <c r="U38" s="224">
        <f t="shared" si="36"/>
        <v>1202601.39</v>
      </c>
      <c r="V38" s="224">
        <f t="shared" si="36"/>
        <v>0</v>
      </c>
      <c r="W38" s="224">
        <f t="shared" si="36"/>
        <v>0</v>
      </c>
      <c r="X38" s="224">
        <f t="shared" si="36"/>
        <v>620962.6699999999</v>
      </c>
      <c r="Y38" s="224">
        <f t="shared" si="36"/>
        <v>0</v>
      </c>
      <c r="Z38" s="224">
        <f t="shared" si="36"/>
        <v>0</v>
      </c>
      <c r="AA38" s="224">
        <f t="shared" si="36"/>
        <v>122750.84000000001</v>
      </c>
      <c r="AB38" s="224">
        <f t="shared" si="36"/>
        <v>42315.9</v>
      </c>
      <c r="AC38" s="224">
        <f t="shared" si="36"/>
        <v>0</v>
      </c>
      <c r="AD38" s="224">
        <f t="shared" si="36"/>
        <v>343589.74</v>
      </c>
      <c r="AE38" s="224">
        <f t="shared" si="36"/>
        <v>7510.6</v>
      </c>
      <c r="AF38" s="224">
        <f t="shared" si="36"/>
        <v>1137129.75</v>
      </c>
      <c r="AG38" s="224">
        <f t="shared" si="36"/>
        <v>1141788.4139999999</v>
      </c>
      <c r="AH38" s="224">
        <f t="shared" si="36"/>
        <v>0</v>
      </c>
      <c r="AI38" s="224">
        <f t="shared" si="36"/>
        <v>343589.74</v>
      </c>
      <c r="AJ38" s="224">
        <f t="shared" si="36"/>
        <v>5368</v>
      </c>
      <c r="AK38" s="224">
        <f t="shared" si="36"/>
        <v>63402.431999999986</v>
      </c>
      <c r="AL38" s="224">
        <f t="shared" si="36"/>
        <v>17859.84</v>
      </c>
      <c r="AM38" s="224">
        <f t="shared" si="36"/>
        <v>89299.20000000001</v>
      </c>
      <c r="AN38" s="224">
        <f t="shared" si="36"/>
        <v>18752.832000000006</v>
      </c>
      <c r="AO38" s="224">
        <f t="shared" si="36"/>
        <v>180384.38400000005</v>
      </c>
      <c r="AP38" s="224">
        <f t="shared" si="36"/>
        <v>91978.17599999999</v>
      </c>
      <c r="AQ38" s="224">
        <f t="shared" si="36"/>
        <v>66974.4</v>
      </c>
      <c r="AR38" s="224">
        <f t="shared" si="36"/>
        <v>66974.4</v>
      </c>
      <c r="AS38" s="224">
        <f t="shared" si="36"/>
        <v>51347.03999999999</v>
      </c>
      <c r="AT38" s="224">
        <f t="shared" si="36"/>
        <v>19833.719999999998</v>
      </c>
      <c r="AU38" s="224">
        <f t="shared" si="36"/>
        <v>37956</v>
      </c>
      <c r="AV38" s="224">
        <f t="shared" si="36"/>
        <v>0</v>
      </c>
      <c r="AW38" s="224">
        <f t="shared" si="36"/>
        <v>17811.76</v>
      </c>
      <c r="AX38" s="224">
        <f t="shared" si="36"/>
        <v>36750.885800000004</v>
      </c>
      <c r="AY38" s="224">
        <f t="shared" si="36"/>
        <v>0</v>
      </c>
      <c r="AZ38" s="224">
        <f t="shared" si="36"/>
        <v>339065.0618817899</v>
      </c>
      <c r="BA38" s="224">
        <f t="shared" si="36"/>
        <v>0</v>
      </c>
      <c r="BB38" s="224">
        <f t="shared" si="36"/>
        <v>0</v>
      </c>
      <c r="BC38" s="224">
        <f t="shared" si="36"/>
        <v>1098390.1316817899</v>
      </c>
      <c r="BD38" s="224">
        <f t="shared" si="36"/>
        <v>1342</v>
      </c>
      <c r="BE38" s="224">
        <f t="shared" si="36"/>
        <v>1099732.1316817899</v>
      </c>
      <c r="BF38" s="224">
        <f>SUM(BF26:BF37)</f>
        <v>47424.28231821013</v>
      </c>
      <c r="BG38" s="224">
        <f>SUM(BG26:BG37)</f>
        <v>-65471.6400000001</v>
      </c>
    </row>
    <row r="39" spans="1:59" s="20" customFormat="1" ht="13.5" thickBot="1">
      <c r="A39" s="225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7"/>
      <c r="BF39" s="226"/>
      <c r="BG39" s="228"/>
    </row>
    <row r="40" spans="1:59" s="20" customFormat="1" ht="13.5" thickBot="1">
      <c r="A40" s="22" t="s">
        <v>54</v>
      </c>
      <c r="B40" s="226"/>
      <c r="C40" s="229">
        <f aca="true" t="shared" si="37" ref="C40:BG40">C38+C24</f>
        <v>3730297.754</v>
      </c>
      <c r="D40" s="229">
        <f t="shared" si="37"/>
        <v>412316.72231520014</v>
      </c>
      <c r="E40" s="229">
        <f t="shared" si="37"/>
        <v>169811.89</v>
      </c>
      <c r="F40" s="229">
        <f t="shared" si="37"/>
        <v>23767.99</v>
      </c>
      <c r="G40" s="229">
        <f t="shared" si="37"/>
        <v>1151235.6700000002</v>
      </c>
      <c r="H40" s="229">
        <f t="shared" si="37"/>
        <v>0</v>
      </c>
      <c r="I40" s="229">
        <f t="shared" si="37"/>
        <v>231149.99000000002</v>
      </c>
      <c r="J40" s="229">
        <f t="shared" si="37"/>
        <v>32168.950000000004</v>
      </c>
      <c r="K40" s="229">
        <f t="shared" si="37"/>
        <v>389824.24</v>
      </c>
      <c r="L40" s="229">
        <f t="shared" si="37"/>
        <v>54351.479999999996</v>
      </c>
      <c r="M40" s="229">
        <f t="shared" si="37"/>
        <v>890014.6100000001</v>
      </c>
      <c r="N40" s="229">
        <f t="shared" si="37"/>
        <v>77327.72</v>
      </c>
      <c r="O40" s="229">
        <f t="shared" si="37"/>
        <v>260705.23</v>
      </c>
      <c r="P40" s="229">
        <f t="shared" si="37"/>
        <v>19375.63</v>
      </c>
      <c r="Q40" s="229">
        <f t="shared" si="37"/>
        <v>992313.5800000001</v>
      </c>
      <c r="R40" s="229">
        <f t="shared" si="37"/>
        <v>20797.36</v>
      </c>
      <c r="S40" s="229">
        <f t="shared" si="37"/>
        <v>13600</v>
      </c>
      <c r="T40" s="229">
        <f t="shared" si="37"/>
        <v>0</v>
      </c>
      <c r="U40" s="229">
        <f t="shared" si="37"/>
        <v>4098655.21</v>
      </c>
      <c r="V40" s="229">
        <f t="shared" si="37"/>
        <v>227789.13</v>
      </c>
      <c r="W40" s="229">
        <f t="shared" si="37"/>
        <v>166217.12</v>
      </c>
      <c r="X40" s="229">
        <f t="shared" si="37"/>
        <v>1025817.7799999999</v>
      </c>
      <c r="Y40" s="229">
        <f t="shared" si="37"/>
        <v>223945.55999999997</v>
      </c>
      <c r="Z40" s="229">
        <f t="shared" si="37"/>
        <v>371634.37</v>
      </c>
      <c r="AA40" s="229">
        <f t="shared" si="37"/>
        <v>857977.23</v>
      </c>
      <c r="AB40" s="229">
        <f t="shared" si="37"/>
        <v>244826.69999999998</v>
      </c>
      <c r="AC40" s="229">
        <f t="shared" si="37"/>
        <v>0</v>
      </c>
      <c r="AD40" s="229">
        <f t="shared" si="37"/>
        <v>926529.12</v>
      </c>
      <c r="AE40" s="229">
        <f t="shared" si="37"/>
        <v>13905.34</v>
      </c>
      <c r="AF40" s="229">
        <f t="shared" si="37"/>
        <v>3830853.2199999997</v>
      </c>
      <c r="AG40" s="229">
        <f t="shared" si="37"/>
        <v>4470959.072315199</v>
      </c>
      <c r="AH40" s="229">
        <f t="shared" si="37"/>
        <v>0</v>
      </c>
      <c r="AI40" s="229">
        <f t="shared" si="37"/>
        <v>947326.48</v>
      </c>
      <c r="AJ40" s="229">
        <f t="shared" si="37"/>
        <v>7786</v>
      </c>
      <c r="AK40" s="229">
        <f t="shared" si="37"/>
        <v>255310.50400000002</v>
      </c>
      <c r="AL40" s="229">
        <f t="shared" si="37"/>
        <v>80086.5778838</v>
      </c>
      <c r="AM40" s="229">
        <f t="shared" si="37"/>
        <v>398032.134146945</v>
      </c>
      <c r="AN40" s="229">
        <f t="shared" si="37"/>
        <v>37508.016</v>
      </c>
      <c r="AO40" s="229">
        <f t="shared" si="37"/>
        <v>583374.4138924514</v>
      </c>
      <c r="AP40" s="229">
        <f t="shared" si="37"/>
        <v>671456.3860800292</v>
      </c>
      <c r="AQ40" s="229">
        <f t="shared" si="37"/>
        <v>133957.19999999998</v>
      </c>
      <c r="AR40" s="229">
        <f t="shared" si="37"/>
        <v>133957.19999999998</v>
      </c>
      <c r="AS40" s="229">
        <f t="shared" si="37"/>
        <v>102705.11999999998</v>
      </c>
      <c r="AT40" s="229">
        <f t="shared" si="37"/>
        <v>38623.56</v>
      </c>
      <c r="AU40" s="229">
        <f t="shared" si="37"/>
        <v>256973.15999999997</v>
      </c>
      <c r="AV40" s="229">
        <f t="shared" si="37"/>
        <v>746</v>
      </c>
      <c r="AW40" s="229">
        <f t="shared" si="37"/>
        <v>301225.6758</v>
      </c>
      <c r="AX40" s="229">
        <f t="shared" si="37"/>
        <v>181560.38640000002</v>
      </c>
      <c r="AY40" s="229">
        <f t="shared" si="37"/>
        <v>471033.5208622028</v>
      </c>
      <c r="AZ40" s="229">
        <f t="shared" si="37"/>
        <v>639126.4162562552</v>
      </c>
      <c r="BA40" s="229">
        <f t="shared" si="37"/>
        <v>0</v>
      </c>
      <c r="BB40" s="229">
        <f t="shared" si="37"/>
        <v>0</v>
      </c>
      <c r="BC40" s="229">
        <f t="shared" si="37"/>
        <v>4285676.271321683</v>
      </c>
      <c r="BD40" s="229">
        <f t="shared" si="37"/>
        <v>1946.5</v>
      </c>
      <c r="BE40" s="230">
        <f>BE38+BE24-20791.12</f>
        <v>4246040.531321683</v>
      </c>
      <c r="BF40" s="229">
        <f>BF38+BF24</f>
        <v>178999.38105666847</v>
      </c>
      <c r="BG40" s="231">
        <f>BG38+BG24</f>
        <v>-214046.17000000013</v>
      </c>
    </row>
  </sheetData>
  <sheetProtection/>
  <mergeCells count="56">
    <mergeCell ref="AW5:AW6"/>
    <mergeCell ref="AX5:AX6"/>
    <mergeCell ref="AZ5:AZ6"/>
    <mergeCell ref="BA5:BA6"/>
    <mergeCell ref="BB5:BB6"/>
    <mergeCell ref="BC5:BC6"/>
    <mergeCell ref="AM5:AM6"/>
    <mergeCell ref="AN5:AN6"/>
    <mergeCell ref="AO5:AO6"/>
    <mergeCell ref="AP5:AP6"/>
    <mergeCell ref="BD5:BD6"/>
    <mergeCell ref="BE5:BE6"/>
    <mergeCell ref="AS5:AS6"/>
    <mergeCell ref="AT5:AT6"/>
    <mergeCell ref="AU5:AU6"/>
    <mergeCell ref="AV5:AV6"/>
    <mergeCell ref="AF5:AF6"/>
    <mergeCell ref="AG5:AG6"/>
    <mergeCell ref="AH5:AH6"/>
    <mergeCell ref="AI5:AI6"/>
    <mergeCell ref="AK5:AK6"/>
    <mergeCell ref="AL5:AL6"/>
    <mergeCell ref="BG3:BG6"/>
    <mergeCell ref="E5:F6"/>
    <mergeCell ref="G5:H6"/>
    <mergeCell ref="I5:J6"/>
    <mergeCell ref="K5:L6"/>
    <mergeCell ref="M5:N6"/>
    <mergeCell ref="O5:P6"/>
    <mergeCell ref="Q5:R6"/>
    <mergeCell ref="Z5:Z6"/>
    <mergeCell ref="AA5:AA6"/>
    <mergeCell ref="S5:T6"/>
    <mergeCell ref="U5:U6"/>
    <mergeCell ref="S3:T4"/>
    <mergeCell ref="U3:V4"/>
    <mergeCell ref="V5:V6"/>
    <mergeCell ref="AD5:AD6"/>
    <mergeCell ref="AB5:AB6"/>
    <mergeCell ref="AC5:AC6"/>
    <mergeCell ref="W3:AI4"/>
    <mergeCell ref="AJ3:AJ6"/>
    <mergeCell ref="AK3:BE4"/>
    <mergeCell ref="BF3:BF6"/>
    <mergeCell ref="W5:W6"/>
    <mergeCell ref="X5:X6"/>
    <mergeCell ref="Y5:Y6"/>
    <mergeCell ref="AE5:AE6"/>
    <mergeCell ref="AQ5:AQ6"/>
    <mergeCell ref="AR5:AR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0.00390625" style="145" customWidth="1"/>
    <col min="2" max="2" width="11.125" style="145" customWidth="1"/>
    <col min="3" max="3" width="11.875" style="145" customWidth="1"/>
    <col min="4" max="4" width="10.75390625" style="145" customWidth="1"/>
    <col min="5" max="5" width="11.625" style="145" customWidth="1"/>
    <col min="6" max="6" width="9.875" style="145" customWidth="1"/>
    <col min="7" max="7" width="12.75390625" style="145" customWidth="1"/>
    <col min="8" max="8" width="13.25390625" style="145" customWidth="1"/>
    <col min="9" max="9" width="13.125" style="145" customWidth="1"/>
    <col min="10" max="10" width="11.00390625" style="145" customWidth="1"/>
    <col min="11" max="11" width="9.875" style="145" customWidth="1"/>
    <col min="12" max="12" width="12.00390625" style="145" customWidth="1"/>
    <col min="13" max="13" width="10.125" style="145" customWidth="1"/>
    <col min="14" max="14" width="11.625" style="145" customWidth="1"/>
    <col min="15" max="15" width="11.375" style="145" customWidth="1"/>
    <col min="16" max="16" width="12.625" style="145" customWidth="1"/>
    <col min="17" max="17" width="13.375" style="145" customWidth="1"/>
    <col min="18" max="18" width="12.00390625" style="145" customWidth="1"/>
    <col min="19" max="16384" width="9.125" style="145" customWidth="1"/>
  </cols>
  <sheetData>
    <row r="1" spans="2:9" ht="20.25" customHeight="1">
      <c r="B1" s="296" t="s">
        <v>55</v>
      </c>
      <c r="C1" s="296"/>
      <c r="D1" s="296"/>
      <c r="E1" s="296"/>
      <c r="F1" s="296"/>
      <c r="G1" s="296"/>
      <c r="H1" s="296"/>
      <c r="I1" s="144"/>
    </row>
    <row r="2" spans="2:12" ht="21" customHeight="1">
      <c r="B2" s="296" t="s">
        <v>56</v>
      </c>
      <c r="C2" s="296"/>
      <c r="D2" s="296"/>
      <c r="E2" s="296"/>
      <c r="F2" s="296"/>
      <c r="G2" s="296"/>
      <c r="H2" s="296"/>
      <c r="I2" s="144"/>
      <c r="K2" s="146"/>
      <c r="L2" s="146"/>
    </row>
    <row r="5" spans="1:15" ht="12.75">
      <c r="A5" s="298" t="s">
        <v>127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2.75">
      <c r="A6" s="299" t="s">
        <v>129</v>
      </c>
      <c r="B6" s="299"/>
      <c r="C6" s="299"/>
      <c r="D6" s="299"/>
      <c r="E6" s="299"/>
      <c r="F6" s="299"/>
      <c r="G6" s="299"/>
      <c r="H6" s="87"/>
      <c r="I6" s="87"/>
      <c r="J6" s="87"/>
      <c r="K6" s="87"/>
      <c r="L6" s="87"/>
      <c r="M6" s="87"/>
      <c r="N6" s="87"/>
      <c r="O6" s="87"/>
    </row>
    <row r="7" spans="1:16" ht="13.5" thickBot="1">
      <c r="A7" s="406" t="s">
        <v>58</v>
      </c>
      <c r="B7" s="406"/>
      <c r="C7" s="406"/>
      <c r="D7" s="406"/>
      <c r="E7" s="406">
        <v>9.51</v>
      </c>
      <c r="F7" s="406"/>
      <c r="G7" s="76" t="s">
        <v>130</v>
      </c>
      <c r="J7" s="147"/>
      <c r="K7" s="147"/>
      <c r="L7" s="147"/>
      <c r="M7" s="147"/>
      <c r="N7" s="147"/>
      <c r="O7" s="147"/>
      <c r="P7" s="147"/>
    </row>
    <row r="8" spans="1:18" ht="12.75" customHeight="1">
      <c r="A8" s="245" t="s">
        <v>59</v>
      </c>
      <c r="B8" s="323" t="s">
        <v>1</v>
      </c>
      <c r="C8" s="326" t="s">
        <v>131</v>
      </c>
      <c r="D8" s="329" t="s">
        <v>3</v>
      </c>
      <c r="E8" s="311" t="s">
        <v>61</v>
      </c>
      <c r="F8" s="312"/>
      <c r="G8" s="332" t="s">
        <v>62</v>
      </c>
      <c r="H8" s="333"/>
      <c r="I8" s="412" t="s">
        <v>96</v>
      </c>
      <c r="J8" s="415" t="s">
        <v>10</v>
      </c>
      <c r="K8" s="416"/>
      <c r="L8" s="416"/>
      <c r="M8" s="416"/>
      <c r="N8" s="416"/>
      <c r="O8" s="416"/>
      <c r="P8" s="417"/>
      <c r="Q8" s="407" t="s">
        <v>63</v>
      </c>
      <c r="R8" s="407" t="s">
        <v>12</v>
      </c>
    </row>
    <row r="9" spans="1:18" ht="12.75">
      <c r="A9" s="246"/>
      <c r="B9" s="324"/>
      <c r="C9" s="327"/>
      <c r="D9" s="330"/>
      <c r="E9" s="313"/>
      <c r="F9" s="314"/>
      <c r="G9" s="334"/>
      <c r="H9" s="335"/>
      <c r="I9" s="413"/>
      <c r="J9" s="418"/>
      <c r="K9" s="419"/>
      <c r="L9" s="419"/>
      <c r="M9" s="419"/>
      <c r="N9" s="419"/>
      <c r="O9" s="419"/>
      <c r="P9" s="420"/>
      <c r="Q9" s="408"/>
      <c r="R9" s="408"/>
    </row>
    <row r="10" spans="1:18" ht="26.25" customHeight="1">
      <c r="A10" s="246"/>
      <c r="B10" s="324"/>
      <c r="C10" s="327"/>
      <c r="D10" s="330"/>
      <c r="E10" s="303" t="s">
        <v>64</v>
      </c>
      <c r="F10" s="304"/>
      <c r="G10" s="149" t="s">
        <v>97</v>
      </c>
      <c r="H10" s="305" t="s">
        <v>7</v>
      </c>
      <c r="I10" s="413"/>
      <c r="J10" s="307" t="s">
        <v>65</v>
      </c>
      <c r="K10" s="309" t="s">
        <v>98</v>
      </c>
      <c r="L10" s="309" t="s">
        <v>66</v>
      </c>
      <c r="M10" s="309" t="s">
        <v>37</v>
      </c>
      <c r="N10" s="310" t="s">
        <v>19</v>
      </c>
      <c r="O10" s="310" t="s">
        <v>99</v>
      </c>
      <c r="P10" s="306" t="s">
        <v>39</v>
      </c>
      <c r="Q10" s="408"/>
      <c r="R10" s="408"/>
    </row>
    <row r="11" spans="1:18" ht="66.75" customHeight="1" thickBot="1">
      <c r="A11" s="322"/>
      <c r="B11" s="325"/>
      <c r="C11" s="328"/>
      <c r="D11" s="331"/>
      <c r="E11" s="59" t="s">
        <v>68</v>
      </c>
      <c r="F11" s="62" t="s">
        <v>21</v>
      </c>
      <c r="G11" s="143" t="s">
        <v>100</v>
      </c>
      <c r="H11" s="306"/>
      <c r="I11" s="414"/>
      <c r="J11" s="308"/>
      <c r="K11" s="310"/>
      <c r="L11" s="310"/>
      <c r="M11" s="310"/>
      <c r="N11" s="421"/>
      <c r="O11" s="421"/>
      <c r="P11" s="422"/>
      <c r="Q11" s="409"/>
      <c r="R11" s="409"/>
    </row>
    <row r="12" spans="1:18" ht="13.5" thickBot="1">
      <c r="A12" s="60">
        <v>1</v>
      </c>
      <c r="B12" s="61">
        <v>2</v>
      </c>
      <c r="C12" s="60">
        <v>3</v>
      </c>
      <c r="D12" s="60">
        <v>4</v>
      </c>
      <c r="E12" s="61">
        <v>5</v>
      </c>
      <c r="F12" s="60">
        <v>6</v>
      </c>
      <c r="G12" s="60">
        <v>7</v>
      </c>
      <c r="H12" s="61">
        <v>8</v>
      </c>
      <c r="I12" s="60">
        <v>9</v>
      </c>
      <c r="J12" s="60">
        <v>10</v>
      </c>
      <c r="K12" s="61">
        <v>11</v>
      </c>
      <c r="L12" s="60">
        <v>12</v>
      </c>
      <c r="M12" s="60">
        <v>13</v>
      </c>
      <c r="N12" s="61">
        <v>14</v>
      </c>
      <c r="O12" s="60">
        <v>15</v>
      </c>
      <c r="P12" s="60">
        <v>16</v>
      </c>
      <c r="Q12" s="61">
        <v>17</v>
      </c>
      <c r="R12" s="60">
        <v>18</v>
      </c>
    </row>
    <row r="13" spans="1:18" ht="13.5" thickBot="1">
      <c r="A13" s="319" t="s">
        <v>101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151"/>
      <c r="Q13" s="152"/>
      <c r="R13" s="152"/>
    </row>
    <row r="14" spans="1:20" s="20" customFormat="1" ht="13.5" thickBot="1">
      <c r="A14" s="74" t="s">
        <v>54</v>
      </c>
      <c r="B14" s="36"/>
      <c r="C14" s="37">
        <f>'2012 полн'!C8</f>
        <v>1929747.5300000003</v>
      </c>
      <c r="D14" s="37">
        <f>'2012 полн'!D8</f>
        <v>399160.2343152001</v>
      </c>
      <c r="E14" s="37">
        <f>'2012 полн'!U8</f>
        <v>1720544.88</v>
      </c>
      <c r="F14" s="37">
        <f>'2012 полн'!V8</f>
        <v>227789.13</v>
      </c>
      <c r="G14" s="37">
        <f>'2012 полн'!AF8</f>
        <v>1604024.9499999997</v>
      </c>
      <c r="H14" s="37">
        <f>'2012 полн'!AG8</f>
        <v>2230974.3143152</v>
      </c>
      <c r="I14" s="37">
        <f>'2012 полн'!AJ8</f>
        <v>450</v>
      </c>
      <c r="J14" s="37">
        <f>'2012 полн'!AK8</f>
        <v>132070.104</v>
      </c>
      <c r="K14" s="37">
        <f>'2012 полн'!AL8</f>
        <v>44364.6578838</v>
      </c>
      <c r="L14" s="37">
        <f>'2012 полн'!AM8+'2012 полн'!AN8+'2012 полн'!AO8+'2012 полн'!AP8+'2012 полн'!AT8+'2012 полн'!AY8</f>
        <v>1095498.9089194257</v>
      </c>
      <c r="M14" s="37">
        <f>'2012 полн'!AU8+'2012 полн'!AV8+'2012 полн'!AW8+'2012 полн'!AX8</f>
        <v>603711.6314</v>
      </c>
      <c r="N14" s="37">
        <f>'2012 полн'!AZ8</f>
        <v>300061.3543744653</v>
      </c>
      <c r="O14" s="37">
        <f>'2012 полн'!BD8</f>
        <v>112.5</v>
      </c>
      <c r="P14" s="37">
        <f>'2012 полн'!BE8</f>
        <v>2175819.1565776905</v>
      </c>
      <c r="Q14" s="37">
        <f>'2012 полн'!BF8</f>
        <v>43482.237800661256</v>
      </c>
      <c r="R14" s="37">
        <f>'2012 полн'!BG8</f>
        <v>-62764.10999999998</v>
      </c>
      <c r="S14" s="68"/>
      <c r="T14" s="67"/>
    </row>
    <row r="15" spans="1:20" ht="12.75">
      <c r="A15" s="7" t="s">
        <v>102</v>
      </c>
      <c r="B15" s="153"/>
      <c r="C15" s="39"/>
      <c r="D15" s="40"/>
      <c r="E15" s="154"/>
      <c r="F15" s="155"/>
      <c r="G15" s="156"/>
      <c r="H15" s="155"/>
      <c r="I15" s="157"/>
      <c r="J15" s="156"/>
      <c r="K15" s="158"/>
      <c r="L15" s="158"/>
      <c r="M15" s="159"/>
      <c r="N15" s="160"/>
      <c r="O15" s="160"/>
      <c r="P15" s="161"/>
      <c r="Q15" s="162"/>
      <c r="R15" s="162"/>
      <c r="S15" s="146"/>
      <c r="T15" s="146"/>
    </row>
    <row r="16" spans="1:20" ht="12.75">
      <c r="A16" s="163" t="s">
        <v>45</v>
      </c>
      <c r="B16" s="75">
        <f>'2012 полн'!B10</f>
        <v>7445.1</v>
      </c>
      <c r="C16" s="26">
        <f>'2012 полн'!C10</f>
        <v>63655.60500000001</v>
      </c>
      <c r="D16" s="27">
        <f>'2012 полн'!D10</f>
        <v>744.804</v>
      </c>
      <c r="E16" s="158">
        <f>'2012 полн'!U10</f>
        <v>82641.99</v>
      </c>
      <c r="F16" s="158">
        <f>'2012 полн'!V10</f>
        <v>0</v>
      </c>
      <c r="G16" s="164">
        <f>'2012 полн'!AF10</f>
        <v>47657.04</v>
      </c>
      <c r="H16" s="164">
        <f>'2012 полн'!AG10</f>
        <v>48401.844</v>
      </c>
      <c r="I16" s="164">
        <f>'2012 полн'!AJ10</f>
        <v>114</v>
      </c>
      <c r="J16" s="164">
        <f>'2012 полн'!AK10</f>
        <v>4988.217000000001</v>
      </c>
      <c r="K16" s="158">
        <f>'2012 полн'!AL10</f>
        <v>1489.0200000000002</v>
      </c>
      <c r="L16" s="158">
        <f>'2012 полн'!AM10+'2012 полн'!AN10+'2012 полн'!AO10+'2012 полн'!AP10+'2012 полн'!AQ10+'2012 полн'!AR10+'2012 полн'!AS10+'2012 полн'!AT10</f>
        <v>52228.551</v>
      </c>
      <c r="M16" s="159">
        <f>'2012 полн'!AU10+'2012 полн'!AV10+'2012 полн'!AW10+'2012 полн'!AX10</f>
        <v>51.739999999999995</v>
      </c>
      <c r="N16" s="165">
        <f>'2012 полн'!AY10</f>
        <v>25382.36997341217</v>
      </c>
      <c r="O16" s="165">
        <f>'2012 полн'!BD10</f>
        <v>28.5</v>
      </c>
      <c r="P16" s="161">
        <f>'2012 полн'!BE10</f>
        <v>84168.39797341218</v>
      </c>
      <c r="Q16" s="161">
        <f>'2012 полн'!BF10</f>
        <v>-35652.553973412185</v>
      </c>
      <c r="R16" s="161">
        <f>'2012 полн'!BG10</f>
        <v>-34984.950000000004</v>
      </c>
      <c r="S16" s="146"/>
      <c r="T16" s="146"/>
    </row>
    <row r="17" spans="1:20" ht="12.75">
      <c r="A17" s="163" t="s">
        <v>46</v>
      </c>
      <c r="B17" s="75">
        <f>'2012 полн'!B11</f>
        <v>7445.1</v>
      </c>
      <c r="C17" s="26">
        <f>'2012 полн'!C11</f>
        <v>63655.60500000001</v>
      </c>
      <c r="D17" s="27">
        <f>'2012 полн'!D11</f>
        <v>744.804</v>
      </c>
      <c r="E17" s="158">
        <f>'2012 полн'!U11</f>
        <v>101669.89000000001</v>
      </c>
      <c r="F17" s="158">
        <f>'2012 полн'!V11</f>
        <v>0</v>
      </c>
      <c r="G17" s="164">
        <f>'2012 полн'!AF11</f>
        <v>74257.58000000002</v>
      </c>
      <c r="H17" s="164">
        <f>'2012 полн'!AG11</f>
        <v>75002.38400000002</v>
      </c>
      <c r="I17" s="164">
        <f>'2012 полн'!AJ11</f>
        <v>114</v>
      </c>
      <c r="J17" s="164">
        <f>'2012 полн'!AK11</f>
        <v>4988.217000000001</v>
      </c>
      <c r="K17" s="158">
        <f>'2012 полн'!AL11</f>
        <v>1489.0200000000002</v>
      </c>
      <c r="L17" s="158">
        <f>'2012 полн'!AM11+'2012 полн'!AN11+'2012 полн'!AO11+'2012 полн'!AP11+'2012 полн'!AQ11+'2012 полн'!AR11+'2012 полн'!AS11+'2012 полн'!AT11</f>
        <v>52228.551</v>
      </c>
      <c r="M17" s="159">
        <f>'2012 полн'!AU11+'2012 полн'!AV11+'2012 полн'!AW11+'2012 полн'!AX11</f>
        <v>3032.46</v>
      </c>
      <c r="N17" s="165">
        <f>'2012 полн'!AY11</f>
        <v>24194.266621983497</v>
      </c>
      <c r="O17" s="165">
        <f>'2012 полн'!BD11</f>
        <v>28.5</v>
      </c>
      <c r="P17" s="161">
        <f>'2012 полн'!BE11</f>
        <v>85961.0146219835</v>
      </c>
      <c r="Q17" s="161">
        <f>'2012 полн'!BF11</f>
        <v>-10844.63062198348</v>
      </c>
      <c r="R17" s="161">
        <f>'2012 полн'!BG11</f>
        <v>-27412.309999999998</v>
      </c>
      <c r="S17" s="146"/>
      <c r="T17" s="146"/>
    </row>
    <row r="18" spans="1:20" ht="12.75">
      <c r="A18" s="163" t="s">
        <v>47</v>
      </c>
      <c r="B18" s="75">
        <f>'2012 полн'!B12</f>
        <v>7444.2</v>
      </c>
      <c r="C18" s="26">
        <f>'2012 полн'!C12</f>
        <v>63647.91</v>
      </c>
      <c r="D18" s="27">
        <f>'2012 полн'!D12</f>
        <v>744.804</v>
      </c>
      <c r="E18" s="158">
        <f>'2012 полн'!U12</f>
        <v>104426.94</v>
      </c>
      <c r="F18" s="158">
        <f>'2012 полн'!V12</f>
        <v>0</v>
      </c>
      <c r="G18" s="164">
        <f>'2012 полн'!AF12</f>
        <v>85265.81999999999</v>
      </c>
      <c r="H18" s="164">
        <f>'2012 полн'!AG12</f>
        <v>86010.624</v>
      </c>
      <c r="I18" s="164">
        <f>'2012 полн'!AJ12</f>
        <v>114</v>
      </c>
      <c r="J18" s="164">
        <f>'2012 полн'!AK12</f>
        <v>4987.6140000000005</v>
      </c>
      <c r="K18" s="158">
        <f>'2012 полн'!AL12</f>
        <v>1488.8400000000001</v>
      </c>
      <c r="L18" s="158">
        <f>'2012 полн'!AM12+'2012 полн'!AN12+'2012 полн'!AO12+'2012 полн'!AP12+'2012 полн'!AQ12+'2012 полн'!AR12+'2012 полн'!AS12+'2012 полн'!AT12</f>
        <v>52222.33200000001</v>
      </c>
      <c r="M18" s="159">
        <f>'2012 полн'!AU12+'2012 полн'!AV12+'2012 полн'!AW12+'2012 полн'!AX12</f>
        <v>139</v>
      </c>
      <c r="N18" s="165">
        <f>'2012 полн'!AY12</f>
        <v>25106.589174432396</v>
      </c>
      <c r="O18" s="165">
        <f>'2012 полн'!BD12</f>
        <v>28.5</v>
      </c>
      <c r="P18" s="161">
        <f>'2012 полн'!BE12</f>
        <v>83972.87517443241</v>
      </c>
      <c r="Q18" s="161">
        <f>'2012 полн'!BF12</f>
        <v>2151.7488255675853</v>
      </c>
      <c r="R18" s="161">
        <f>'2012 полн'!BG12</f>
        <v>-19161.12000000001</v>
      </c>
      <c r="S18" s="146"/>
      <c r="T18" s="146"/>
    </row>
    <row r="19" spans="1:20" ht="12.75">
      <c r="A19" s="163" t="s">
        <v>48</v>
      </c>
      <c r="B19" s="75">
        <f>'2012 полн'!B13</f>
        <v>7442</v>
      </c>
      <c r="C19" s="26">
        <f>'2012 полн'!C13</f>
        <v>63629.100000000006</v>
      </c>
      <c r="D19" s="27">
        <f>'2012 полн'!D13</f>
        <v>744.804</v>
      </c>
      <c r="E19" s="158">
        <f>'2012 полн'!U13</f>
        <v>102308.42000000001</v>
      </c>
      <c r="F19" s="158">
        <f>'2012 полн'!V13</f>
        <v>0</v>
      </c>
      <c r="G19" s="164">
        <f>'2012 полн'!AF13</f>
        <v>111823.88999999998</v>
      </c>
      <c r="H19" s="164">
        <f>'2012 полн'!AG13</f>
        <v>112568.69399999999</v>
      </c>
      <c r="I19" s="164">
        <f>'2012 полн'!AJ13</f>
        <v>114</v>
      </c>
      <c r="J19" s="164">
        <f>'2012 полн'!AK13</f>
        <v>4986.14</v>
      </c>
      <c r="K19" s="158">
        <f>'2012 полн'!AL13</f>
        <v>1488.4</v>
      </c>
      <c r="L19" s="158">
        <f>'2012 полн'!AM13+'2012 полн'!AN13+'2012 полн'!AO13+'2012 полн'!AP13+'2012 полн'!AQ13+'2012 полн'!AR13+'2012 полн'!AS13+'2012 полн'!AT13</f>
        <v>43648.83</v>
      </c>
      <c r="M19" s="159">
        <f>'2012 полн'!AU13+'2012 полн'!AV13+'2012 полн'!AW13+'2012 полн'!AX13</f>
        <v>13128.56</v>
      </c>
      <c r="N19" s="165">
        <f>'2012 полн'!AY13</f>
        <v>24277.066033188592</v>
      </c>
      <c r="O19" s="165">
        <f>'2012 полн'!BD13</f>
        <v>28.5</v>
      </c>
      <c r="P19" s="161">
        <f>'2012 полн'!BE13</f>
        <v>87557.4960331886</v>
      </c>
      <c r="Q19" s="161">
        <f>'2012 полн'!BF13</f>
        <v>25125.197966811393</v>
      </c>
      <c r="R19" s="161">
        <f>'2012 полн'!BG13</f>
        <v>9515.469999999972</v>
      </c>
      <c r="S19" s="146"/>
      <c r="T19" s="146"/>
    </row>
    <row r="20" spans="1:20" ht="12.75">
      <c r="A20" s="163" t="s">
        <v>49</v>
      </c>
      <c r="B20" s="75">
        <f>'2012 полн'!B14</f>
        <v>7442</v>
      </c>
      <c r="C20" s="26">
        <f>'2012 полн'!C14</f>
        <v>63629.100000000006</v>
      </c>
      <c r="D20" s="27">
        <f>'2012 полн'!D14</f>
        <v>744.804</v>
      </c>
      <c r="E20" s="158">
        <f>'2012 полн'!U14</f>
        <v>84319.13999999998</v>
      </c>
      <c r="F20" s="158">
        <f>'2012 полн'!V14</f>
        <v>0</v>
      </c>
      <c r="G20" s="164">
        <f>'2012 полн'!AF14</f>
        <v>76385.1</v>
      </c>
      <c r="H20" s="164">
        <f>'2012 полн'!AG14</f>
        <v>77129.90400000001</v>
      </c>
      <c r="I20" s="164">
        <f>'2012 полн'!AJ14</f>
        <v>114</v>
      </c>
      <c r="J20" s="164">
        <f>'2012 полн'!AK14</f>
        <v>4986.14</v>
      </c>
      <c r="K20" s="158">
        <f>'2012 полн'!AL14</f>
        <v>1488.4</v>
      </c>
      <c r="L20" s="158">
        <f>'2012 полн'!AM14+'2012 полн'!AN14+'2012 полн'!AO14+'2012 полн'!AP14+'2012 полн'!AQ14+'2012 полн'!AR14+'2012 полн'!AS14+'2012 полн'!AT14</f>
        <v>43648.83</v>
      </c>
      <c r="M20" s="159">
        <f>'2012 полн'!AU14+'2012 полн'!AV14+'2012 полн'!AW14+'2012 полн'!AX14</f>
        <v>384.66999999999996</v>
      </c>
      <c r="N20" s="165">
        <f>'2012 полн'!AY14</f>
        <v>27133.724620005378</v>
      </c>
      <c r="O20" s="165">
        <f>'2012 полн'!BD14</f>
        <v>28.5</v>
      </c>
      <c r="P20" s="161">
        <f>'2012 полн'!BE14</f>
        <v>77670.26462000539</v>
      </c>
      <c r="Q20" s="161">
        <f>'2012 полн'!BF14</f>
        <v>-426.3606200053764</v>
      </c>
      <c r="R20" s="161">
        <f>'2012 полн'!BG14</f>
        <v>-7934.039999999979</v>
      </c>
      <c r="S20" s="146"/>
      <c r="T20" s="146"/>
    </row>
    <row r="21" spans="1:20" ht="12.75">
      <c r="A21" s="163" t="s">
        <v>50</v>
      </c>
      <c r="B21" s="75">
        <f>'2012 полн'!B15</f>
        <v>7442</v>
      </c>
      <c r="C21" s="26">
        <f>'2012 полн'!C15</f>
        <v>63629.100000000006</v>
      </c>
      <c r="D21" s="27">
        <f>'2012 полн'!D15</f>
        <v>744.804</v>
      </c>
      <c r="E21" s="158">
        <f>'2012 полн'!U15</f>
        <v>101931.79999999999</v>
      </c>
      <c r="F21" s="158">
        <f>'2012 полн'!V15</f>
        <v>0</v>
      </c>
      <c r="G21" s="164">
        <f>'2012 полн'!AF15</f>
        <v>97583.43999999999</v>
      </c>
      <c r="H21" s="164">
        <f>'2012 полн'!AG15</f>
        <v>98328.24399999999</v>
      </c>
      <c r="I21" s="164">
        <f>'2012 полн'!AJ15</f>
        <v>114</v>
      </c>
      <c r="J21" s="164">
        <f>'2012 полн'!AK15</f>
        <v>4986.14</v>
      </c>
      <c r="K21" s="158">
        <f>'2012 полн'!AL15</f>
        <v>1488.4</v>
      </c>
      <c r="L21" s="158">
        <f>'2012 полн'!AM15+'2012 полн'!AN15+'2012 полн'!AO15+'2012 полн'!AP15+'2012 полн'!AQ15+'2012 полн'!AR15+'2012 полн'!AS15+'2012 полн'!AT15</f>
        <v>43648.83</v>
      </c>
      <c r="M21" s="159">
        <f>'2012 полн'!AU15+'2012 полн'!AV15+'2012 полн'!AW15+'2012 полн'!AX15</f>
        <v>4967.69</v>
      </c>
      <c r="N21" s="165">
        <f>'2012 полн'!AY15</f>
        <v>25435.746972916608</v>
      </c>
      <c r="O21" s="165">
        <f>'2012 полн'!BD15</f>
        <v>28.5</v>
      </c>
      <c r="P21" s="161">
        <f>'2012 полн'!BE15</f>
        <v>80555.30697291662</v>
      </c>
      <c r="Q21" s="161">
        <f>'2012 полн'!BF15</f>
        <v>17886.937027083375</v>
      </c>
      <c r="R21" s="161">
        <f>'2012 полн'!BG15</f>
        <v>-4348.360000000001</v>
      </c>
      <c r="S21" s="146"/>
      <c r="T21" s="146"/>
    </row>
    <row r="22" spans="1:18" ht="12.75">
      <c r="A22" s="163" t="s">
        <v>51</v>
      </c>
      <c r="B22" s="75">
        <f>'2012 полн'!B16</f>
        <v>7442</v>
      </c>
      <c r="C22" s="26">
        <f>'2012 полн'!C16</f>
        <v>63629.100000000006</v>
      </c>
      <c r="D22" s="27">
        <f>'2012 полн'!D16</f>
        <v>744.804</v>
      </c>
      <c r="E22" s="158">
        <f>'2012 полн'!U16</f>
        <v>102295.67000000001</v>
      </c>
      <c r="F22" s="158">
        <f>'2012 полн'!V16</f>
        <v>0</v>
      </c>
      <c r="G22" s="164">
        <f>'2012 полн'!AF16</f>
        <v>95129.04</v>
      </c>
      <c r="H22" s="164">
        <f>'2012 полн'!AG16</f>
        <v>95873.844</v>
      </c>
      <c r="I22" s="164">
        <f>'2012 полн'!AJ16</f>
        <v>114</v>
      </c>
      <c r="J22" s="164">
        <f>'2012 полн'!AK16</f>
        <v>4986.14</v>
      </c>
      <c r="K22" s="158">
        <f>'2012 полн'!AL16</f>
        <v>1488.4</v>
      </c>
      <c r="L22" s="158">
        <f>'2012 полн'!AM16+'2012 полн'!AN16+'2012 полн'!AO16+'2012 полн'!AP16+'2012 полн'!AQ16+'2012 полн'!AR16+'2012 полн'!AS16+'2012 полн'!AT16</f>
        <v>43648.83</v>
      </c>
      <c r="M22" s="159">
        <f>'2012 полн'!AU16+'2012 полн'!AV16+'2012 полн'!AW16+'2012 полн'!AX16</f>
        <v>170.43</v>
      </c>
      <c r="N22" s="165">
        <f>'2012 полн'!AY16</f>
        <v>27649.76270697915</v>
      </c>
      <c r="O22" s="165">
        <f>'2012 полн'!BD16</f>
        <v>28.5</v>
      </c>
      <c r="P22" s="161">
        <f>'2012 полн'!BE16</f>
        <v>77972.06270697915</v>
      </c>
      <c r="Q22" s="161">
        <f>'2012 полн'!BF16</f>
        <v>18015.781293020846</v>
      </c>
      <c r="R22" s="161">
        <f>'2012 полн'!BG16</f>
        <v>-7166.630000000019</v>
      </c>
    </row>
    <row r="23" spans="1:18" ht="12.75">
      <c r="A23" s="163" t="s">
        <v>52</v>
      </c>
      <c r="B23" s="75">
        <f>'2012 полн'!B17</f>
        <v>7441.6</v>
      </c>
      <c r="C23" s="26">
        <f>'2012 полн'!C17</f>
        <v>63625.68000000001</v>
      </c>
      <c r="D23" s="27">
        <f>'2012 полн'!D17</f>
        <v>744.804</v>
      </c>
      <c r="E23" s="158">
        <f>'2012 полн'!U17</f>
        <v>102288.40000000001</v>
      </c>
      <c r="F23" s="158">
        <f>'2012 полн'!V17</f>
        <v>0</v>
      </c>
      <c r="G23" s="164">
        <f>'2012 полн'!AF17</f>
        <v>86701.71999999999</v>
      </c>
      <c r="H23" s="164">
        <f>'2012 полн'!AG17</f>
        <v>87446.52399999999</v>
      </c>
      <c r="I23" s="164">
        <f>'2012 полн'!AJ17</f>
        <v>114</v>
      </c>
      <c r="J23" s="164">
        <f>'2012 полн'!AK17</f>
        <v>4985.872</v>
      </c>
      <c r="K23" s="158">
        <f>'2012 полн'!AL17</f>
        <v>1488.3200000000002</v>
      </c>
      <c r="L23" s="158">
        <f>'2012 полн'!AM17+'2012 полн'!AN17+'2012 полн'!AO17+'2012 полн'!AP17+'2012 полн'!AQ17+'2012 полн'!AR17+'2012 полн'!AS17+'2012 полн'!AT17</f>
        <v>43646.52600000001</v>
      </c>
      <c r="M23" s="159">
        <f>'2012 полн'!AU17+'2012 полн'!AV17+'2012 полн'!AW17+'2012 полн'!AX17</f>
        <v>11404.075</v>
      </c>
      <c r="N23" s="165">
        <f>'2012 полн'!AY17</f>
        <v>27663.082828245853</v>
      </c>
      <c r="O23" s="165">
        <f>'2012 полн'!BD17</f>
        <v>28.5</v>
      </c>
      <c r="P23" s="161">
        <f>'2012 полн'!BE17</f>
        <v>89216.37582824586</v>
      </c>
      <c r="Q23" s="161">
        <f>'2012 полн'!BF17</f>
        <v>-1655.851828245868</v>
      </c>
      <c r="R23" s="161">
        <f>'2012 полн'!BG17</f>
        <v>-15586.680000000022</v>
      </c>
    </row>
    <row r="24" spans="1:18" ht="12.75">
      <c r="A24" s="163" t="s">
        <v>53</v>
      </c>
      <c r="B24" s="75">
        <f>'2012 полн'!B18</f>
        <v>7441.6</v>
      </c>
      <c r="C24" s="26">
        <f>'2012 полн'!C18</f>
        <v>63625.68000000001</v>
      </c>
      <c r="D24" s="27">
        <f>'2012 полн'!D18</f>
        <v>634.848</v>
      </c>
      <c r="E24" s="158">
        <f>'2012 полн'!U18</f>
        <v>102461.25</v>
      </c>
      <c r="F24" s="158">
        <f>'2012 полн'!V18</f>
        <v>0</v>
      </c>
      <c r="G24" s="164">
        <f>'2012 полн'!AF18</f>
        <v>88789.69</v>
      </c>
      <c r="H24" s="164">
        <f>'2012 полн'!AG18</f>
        <v>89424.538</v>
      </c>
      <c r="I24" s="164">
        <f>'2012 полн'!AJ18</f>
        <v>114</v>
      </c>
      <c r="J24" s="164">
        <f>'2012 полн'!AK18</f>
        <v>4985.872</v>
      </c>
      <c r="K24" s="158">
        <f>'2012 полн'!AL18</f>
        <v>1488.3200000000002</v>
      </c>
      <c r="L24" s="158">
        <f>'2012 полн'!AM18+'2012 полн'!AN18+'2012 полн'!AO18+'2012 полн'!AP18+'2012 полн'!AQ18+'2012 полн'!AR18+'2012 полн'!AS18+'2012 полн'!AT18</f>
        <v>43646.52600000001</v>
      </c>
      <c r="M24" s="159">
        <f>'2012 полн'!AU18+'2012 полн'!AV18+'2012 полн'!AW18+'2012 полн'!AX18</f>
        <v>1719.63</v>
      </c>
      <c r="N24" s="165">
        <f>'2012 полн'!AY18</f>
        <v>25028.963191848412</v>
      </c>
      <c r="O24" s="165">
        <f>'2012 полн'!BD18</f>
        <v>28.5</v>
      </c>
      <c r="P24" s="161">
        <f>'2012 полн'!BE18</f>
        <v>76897.81119184842</v>
      </c>
      <c r="Q24" s="161">
        <f>'2012 полн'!BF18</f>
        <v>12640.72680815158</v>
      </c>
      <c r="R24" s="161">
        <f>'2012 полн'!BG18</f>
        <v>-13671.559999999998</v>
      </c>
    </row>
    <row r="25" spans="1:18" ht="12.75">
      <c r="A25" s="163" t="s">
        <v>41</v>
      </c>
      <c r="B25" s="75">
        <f>'2012 полн'!B19</f>
        <v>7441.6</v>
      </c>
      <c r="C25" s="26">
        <f>'2012 полн'!C19</f>
        <v>63625.68000000001</v>
      </c>
      <c r="D25" s="27">
        <f>'2012 полн'!D19</f>
        <v>634.848</v>
      </c>
      <c r="E25" s="158">
        <f>'2012 полн'!U19</f>
        <v>100681.22</v>
      </c>
      <c r="F25" s="158">
        <f>'2012 полн'!V19</f>
        <v>0</v>
      </c>
      <c r="G25" s="164">
        <f>'2012 полн'!AF19</f>
        <v>99858.25</v>
      </c>
      <c r="H25" s="164">
        <f>'2012 полн'!AG19</f>
        <v>100493.098</v>
      </c>
      <c r="I25" s="164">
        <f>'2012 полн'!AJ19</f>
        <v>114</v>
      </c>
      <c r="J25" s="164">
        <f>'2012 полн'!AK19</f>
        <v>4985.872</v>
      </c>
      <c r="K25" s="158">
        <f>'2012 полн'!AL19</f>
        <v>1488.3200000000002</v>
      </c>
      <c r="L25" s="158">
        <f>'2012 полн'!AM19+'2012 полн'!AN19+'2012 полн'!AO19+'2012 полн'!AP19+'2012 полн'!AQ19+'2012 полн'!AR19+'2012 полн'!AS19+'2012 полн'!AT19</f>
        <v>52204.36600000001</v>
      </c>
      <c r="M25" s="159">
        <f>'2012 полн'!AU19+'2012 полн'!AV19+'2012 полн'!AW19+'2012 полн'!AX19</f>
        <v>285.8</v>
      </c>
      <c r="N25" s="165">
        <f>'2012 полн'!AY19</f>
        <v>30169.44533941164</v>
      </c>
      <c r="O25" s="165">
        <f>'2012 полн'!BD19</f>
        <v>28.5</v>
      </c>
      <c r="P25" s="161">
        <f>'2012 полн'!BE19</f>
        <v>89162.30333941165</v>
      </c>
      <c r="Q25" s="161">
        <f>'2012 полн'!BF19</f>
        <v>11444.794660588348</v>
      </c>
      <c r="R25" s="161">
        <f>'2012 полн'!BG19</f>
        <v>-822.9700000000012</v>
      </c>
    </row>
    <row r="26" spans="1:18" ht="12.75">
      <c r="A26" s="163" t="s">
        <v>42</v>
      </c>
      <c r="B26" s="75">
        <f>'2012 полн'!B20</f>
        <v>7441.6</v>
      </c>
      <c r="C26" s="26">
        <f>'2012 полн'!C20</f>
        <v>63625.68000000001</v>
      </c>
      <c r="D26" s="27">
        <f>'2012 полн'!D20</f>
        <v>634.848</v>
      </c>
      <c r="E26" s="158">
        <f>'2012 полн'!U20</f>
        <v>87757.70999999999</v>
      </c>
      <c r="F26" s="158">
        <f>'2012 полн'!V20</f>
        <v>0</v>
      </c>
      <c r="G26" s="164">
        <f>'2012 полн'!AF20</f>
        <v>107757.92</v>
      </c>
      <c r="H26" s="164">
        <f>'2012 полн'!AG20</f>
        <v>108392.768</v>
      </c>
      <c r="I26" s="164">
        <f>'2012 полн'!AJ20</f>
        <v>114</v>
      </c>
      <c r="J26" s="164">
        <f>'2012 полн'!AK20</f>
        <v>4985.872</v>
      </c>
      <c r="K26" s="158">
        <f>'2012 полн'!AL20</f>
        <v>1488.3200000000002</v>
      </c>
      <c r="L26" s="158">
        <f>'2012 полн'!AM20+'2012 полн'!AN20+'2012 полн'!AO20+'2012 полн'!AP20+'2012 полн'!AQ20+'2012 полн'!AR20+'2012 полн'!AS20+'2012 полн'!AT20</f>
        <v>52204.36600000001</v>
      </c>
      <c r="M26" s="159">
        <f>'2012 полн'!AU20+'2012 полн'!AV20+'2012 полн'!AW20+'2012 полн'!AX20</f>
        <v>183.89</v>
      </c>
      <c r="N26" s="165">
        <f>'2012 полн'!AY20</f>
        <v>26427.122927946904</v>
      </c>
      <c r="O26" s="165">
        <f>'2012 полн'!BD20</f>
        <v>28.5</v>
      </c>
      <c r="P26" s="161">
        <f>'2012 полн'!BE20</f>
        <v>85318.07092794692</v>
      </c>
      <c r="Q26" s="161">
        <f>'2012 полн'!BF20</f>
        <v>23188.69707205308</v>
      </c>
      <c r="R26" s="161">
        <f>'2012 полн'!BG20</f>
        <v>20000.210000000006</v>
      </c>
    </row>
    <row r="27" spans="1:18" ht="13.5" thickBot="1">
      <c r="A27" s="166" t="s">
        <v>43</v>
      </c>
      <c r="B27" s="75">
        <f>'2012 полн'!B21</f>
        <v>7441.6</v>
      </c>
      <c r="C27" s="26">
        <f>'2012 полн'!C21</f>
        <v>63625.68000000001</v>
      </c>
      <c r="D27" s="27">
        <f>'2012 полн'!D21</f>
        <v>634.848</v>
      </c>
      <c r="E27" s="158">
        <f>'2012 полн'!U21</f>
        <v>102726.51</v>
      </c>
      <c r="F27" s="158">
        <f>'2012 полн'!V21</f>
        <v>0</v>
      </c>
      <c r="G27" s="164">
        <f>'2012 полн'!AF21</f>
        <v>118489.03</v>
      </c>
      <c r="H27" s="164">
        <f>'2012 полн'!AG21</f>
        <v>119123.878</v>
      </c>
      <c r="I27" s="164">
        <f>'2012 полн'!AJ21</f>
        <v>714</v>
      </c>
      <c r="J27" s="164">
        <f>'2012 полн'!AK21</f>
        <v>4985.872</v>
      </c>
      <c r="K27" s="158">
        <f>'2012 полн'!AL21</f>
        <v>1488.3200000000002</v>
      </c>
      <c r="L27" s="158">
        <f>'2012 полн'!AM21+'2012 полн'!AN21+'2012 полн'!AO21+'2012 полн'!AP21+'2012 полн'!AQ21+'2012 полн'!AR21+'2012 полн'!AS21+'2012 полн'!AT21</f>
        <v>52204.36600000001</v>
      </c>
      <c r="M27" s="159">
        <f>'2012 полн'!AU21+'2012 полн'!AV21+'2012 полн'!AW21+'2012 полн'!AX21</f>
        <v>8807</v>
      </c>
      <c r="N27" s="165">
        <f>'2012 полн'!AY21</f>
        <v>25955.445671832167</v>
      </c>
      <c r="O27" s="165">
        <f>'2012 полн'!BD21</f>
        <v>178.5</v>
      </c>
      <c r="P27" s="161">
        <f>'2012 полн'!BE21</f>
        <v>93619.50367183218</v>
      </c>
      <c r="Q27" s="161">
        <f>'2012 полн'!BF21</f>
        <v>26218.374328167818</v>
      </c>
      <c r="R27" s="161">
        <f>'2012 полн'!BG21</f>
        <v>15762.520000000004</v>
      </c>
    </row>
    <row r="28" spans="1:20" s="20" customFormat="1" ht="13.5" thickBot="1">
      <c r="A28" s="33" t="s">
        <v>5</v>
      </c>
      <c r="B28" s="34"/>
      <c r="C28" s="71">
        <f aca="true" t="shared" si="0" ref="C28:Q28">SUM(C16:C27)</f>
        <v>763603.9200000002</v>
      </c>
      <c r="D28" s="71">
        <f t="shared" si="0"/>
        <v>8497.824</v>
      </c>
      <c r="E28" s="71">
        <f t="shared" si="0"/>
        <v>1175508.94</v>
      </c>
      <c r="F28" s="71">
        <f t="shared" si="0"/>
        <v>0</v>
      </c>
      <c r="G28" s="71">
        <f t="shared" si="0"/>
        <v>1089698.5199999998</v>
      </c>
      <c r="H28" s="71">
        <f t="shared" si="0"/>
        <v>1098196.3439999998</v>
      </c>
      <c r="I28" s="71">
        <f t="shared" si="0"/>
        <v>1968</v>
      </c>
      <c r="J28" s="71">
        <f t="shared" si="0"/>
        <v>59837.968000000015</v>
      </c>
      <c r="K28" s="71">
        <f t="shared" si="0"/>
        <v>17862.079999999998</v>
      </c>
      <c r="L28" s="71">
        <f t="shared" si="0"/>
        <v>575180.9040000002</v>
      </c>
      <c r="M28" s="71">
        <f t="shared" si="0"/>
        <v>44274.945</v>
      </c>
      <c r="N28" s="71">
        <f t="shared" si="0"/>
        <v>314423.5860622028</v>
      </c>
      <c r="O28" s="71">
        <f t="shared" si="0"/>
        <v>492</v>
      </c>
      <c r="P28" s="71">
        <f t="shared" si="0"/>
        <v>1012071.4830622028</v>
      </c>
      <c r="Q28" s="71">
        <f t="shared" si="0"/>
        <v>88092.86093779712</v>
      </c>
      <c r="R28" s="71">
        <f>SUM(R16:R27)</f>
        <v>-85810.42000000004</v>
      </c>
      <c r="S28" s="67"/>
      <c r="T28" s="67"/>
    </row>
    <row r="29" spans="1:18" ht="13.5" thickBot="1">
      <c r="A29" s="319" t="s">
        <v>69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151"/>
      <c r="Q29" s="152"/>
      <c r="R29" s="152"/>
    </row>
    <row r="30" spans="1:20" s="20" customFormat="1" ht="13.5" thickBot="1">
      <c r="A30" s="74" t="s">
        <v>54</v>
      </c>
      <c r="B30" s="36"/>
      <c r="C30" s="37">
        <f aca="true" t="shared" si="1" ref="C30:R30">C28+C14</f>
        <v>2693351.45</v>
      </c>
      <c r="D30" s="37">
        <f t="shared" si="1"/>
        <v>407658.05831520015</v>
      </c>
      <c r="E30" s="37">
        <f t="shared" si="1"/>
        <v>2896053.82</v>
      </c>
      <c r="F30" s="37">
        <f t="shared" si="1"/>
        <v>227789.13</v>
      </c>
      <c r="G30" s="37">
        <f>G28+G14</f>
        <v>2693723.4699999997</v>
      </c>
      <c r="H30" s="37">
        <f>H28+H14</f>
        <v>3329170.6583151994</v>
      </c>
      <c r="I30" s="37">
        <f>I28+I14</f>
        <v>2418</v>
      </c>
      <c r="J30" s="37">
        <f t="shared" si="1"/>
        <v>191908.07200000001</v>
      </c>
      <c r="K30" s="37">
        <f t="shared" si="1"/>
        <v>62226.7378838</v>
      </c>
      <c r="L30" s="37">
        <f t="shared" si="1"/>
        <v>1670679.8129194258</v>
      </c>
      <c r="M30" s="37">
        <f t="shared" si="1"/>
        <v>647986.5763999999</v>
      </c>
      <c r="N30" s="37">
        <f t="shared" si="1"/>
        <v>614484.9404366681</v>
      </c>
      <c r="O30" s="37">
        <f t="shared" si="1"/>
        <v>604.5</v>
      </c>
      <c r="P30" s="37">
        <f t="shared" si="1"/>
        <v>3187890.6396398935</v>
      </c>
      <c r="Q30" s="37">
        <f t="shared" si="1"/>
        <v>131575.09873845836</v>
      </c>
      <c r="R30" s="37">
        <f t="shared" si="1"/>
        <v>-148574.53000000003</v>
      </c>
      <c r="S30" s="68"/>
      <c r="T30" s="67"/>
    </row>
    <row r="31" spans="1:20" ht="12.75">
      <c r="A31" s="7" t="s">
        <v>128</v>
      </c>
      <c r="B31" s="153"/>
      <c r="C31" s="39"/>
      <c r="D31" s="40"/>
      <c r="E31" s="154"/>
      <c r="F31" s="155"/>
      <c r="G31" s="156"/>
      <c r="H31" s="155"/>
      <c r="I31" s="157"/>
      <c r="J31" s="156"/>
      <c r="K31" s="158"/>
      <c r="L31" s="158"/>
      <c r="M31" s="159"/>
      <c r="N31" s="160"/>
      <c r="O31" s="160"/>
      <c r="P31" s="161"/>
      <c r="Q31" s="162"/>
      <c r="R31" s="162"/>
      <c r="S31" s="146"/>
      <c r="T31" s="146"/>
    </row>
    <row r="32" spans="1:20" ht="12.75">
      <c r="A32" s="163" t="s">
        <v>45</v>
      </c>
      <c r="B32" s="75">
        <f>'2012 полн'!B26</f>
        <v>7441.6</v>
      </c>
      <c r="C32" s="26">
        <f>'2012 полн'!C26</f>
        <v>102688.27200000001</v>
      </c>
      <c r="D32" s="27">
        <f>'2012 полн'!D26</f>
        <v>634.848</v>
      </c>
      <c r="E32" s="158">
        <f>'2012 полн'!U26</f>
        <v>93274.32</v>
      </c>
      <c r="F32" s="158">
        <f>'2012 полн'!V10</f>
        <v>0</v>
      </c>
      <c r="G32" s="164">
        <f>'2012 полн'!AF26</f>
        <v>69462.98</v>
      </c>
      <c r="H32" s="164">
        <f>'2012 полн'!AG26</f>
        <v>70097.828</v>
      </c>
      <c r="I32" s="164">
        <f>'2012 полн'!AJ26</f>
        <v>114</v>
      </c>
      <c r="J32" s="164">
        <f>'2012 полн'!AK26</f>
        <v>4985.872</v>
      </c>
      <c r="K32" s="164">
        <f>'2012 полн'!AL26</f>
        <v>1488.3200000000002</v>
      </c>
      <c r="L32" s="158">
        <f>'2012 полн'!AM26+'2012 полн'!AN26+'2012 полн'!AO26+'2012 полн'!AP26+'2012 полн'!AQ26+'2012 полн'!AR26+'2012 полн'!AS26+'2012 полн'!AT26</f>
        <v>52204.36600000001</v>
      </c>
      <c r="M32" s="159">
        <f>'2012 полн'!AU26+'2012 полн'!AV26+'2012 полн'!AW26+'2012 полн'!AX26</f>
        <v>25311</v>
      </c>
      <c r="N32" s="165">
        <f>'2012 полн'!AZ26</f>
        <v>25900.553781789826</v>
      </c>
      <c r="O32" s="165">
        <f>'2012 полн'!BD26</f>
        <v>28.5</v>
      </c>
      <c r="P32" s="161">
        <f>'2012 полн'!BE26</f>
        <v>109918.61178178983</v>
      </c>
      <c r="Q32" s="161">
        <f>'2012 полн'!BF26</f>
        <v>-39706.78378178984</v>
      </c>
      <c r="R32" s="161">
        <f>'2012 полн'!BG26</f>
        <v>-23811.34000000001</v>
      </c>
      <c r="S32" s="146"/>
      <c r="T32" s="146"/>
    </row>
    <row r="33" spans="1:20" ht="12.75">
      <c r="A33" s="163" t="s">
        <v>46</v>
      </c>
      <c r="B33" s="75">
        <f>'2012 полн'!B27</f>
        <v>7441.6</v>
      </c>
      <c r="C33" s="26">
        <f>'2012 полн'!C27</f>
        <v>63625.68000000001</v>
      </c>
      <c r="D33" s="27">
        <f>'2012 полн'!D27</f>
        <v>634.848</v>
      </c>
      <c r="E33" s="158">
        <f>'2012 полн'!U27</f>
        <v>92180.16</v>
      </c>
      <c r="F33" s="158">
        <f>'2012 полн'!V11</f>
        <v>0</v>
      </c>
      <c r="G33" s="164">
        <f>'2012 полн'!AF27</f>
        <v>96947.3</v>
      </c>
      <c r="H33" s="164">
        <f>'2012 полн'!AG27</f>
        <v>97582.148</v>
      </c>
      <c r="I33" s="164">
        <f>'2012 полн'!AJ27</f>
        <v>114</v>
      </c>
      <c r="J33" s="164">
        <f>'2012 полн'!AK27</f>
        <v>4985.872</v>
      </c>
      <c r="K33" s="164">
        <f>'2012 полн'!AL27</f>
        <v>1488.3200000000002</v>
      </c>
      <c r="L33" s="158">
        <f>'2012 полн'!AM27+'2012 полн'!AN27+'2012 полн'!AO27+'2012 полн'!AP27+'2012 полн'!AQ27+'2012 полн'!AR27+'2012 полн'!AS27+'2012 полн'!AT27</f>
        <v>52204.36600000001</v>
      </c>
      <c r="M33" s="159">
        <f>'2012 полн'!AU27+'2012 полн'!AV27+'2012 полн'!AW27+'2012 полн'!AX27</f>
        <v>0</v>
      </c>
      <c r="N33" s="165">
        <f>'2012 полн'!AZ27</f>
        <v>24492.792</v>
      </c>
      <c r="O33" s="165">
        <f>'2012 полн'!BD27</f>
        <v>28.5</v>
      </c>
      <c r="P33" s="161">
        <f>'2012 полн'!BE27</f>
        <v>83199.85</v>
      </c>
      <c r="Q33" s="161">
        <f>'2012 полн'!BF27</f>
        <v>14496.297999999995</v>
      </c>
      <c r="R33" s="161">
        <f>'2012 полн'!BG27</f>
        <v>4767.139999999999</v>
      </c>
      <c r="S33" s="146"/>
      <c r="T33" s="146"/>
    </row>
    <row r="34" spans="1:20" ht="12.75">
      <c r="A34" s="163" t="s">
        <v>47</v>
      </c>
      <c r="B34" s="75">
        <f>'2012 полн'!B28</f>
        <v>7441.6</v>
      </c>
      <c r="C34" s="26">
        <f>'2012 полн'!C28</f>
        <v>63625.68000000001</v>
      </c>
      <c r="D34" s="27">
        <f>'2012 полн'!D28</f>
        <v>634.848</v>
      </c>
      <c r="E34" s="158">
        <f>'2012 полн'!U28</f>
        <v>96681.13</v>
      </c>
      <c r="F34" s="158">
        <f>'2012 полн'!V12</f>
        <v>0</v>
      </c>
      <c r="G34" s="164">
        <f>'2012 полн'!AF28</f>
        <v>82504.87</v>
      </c>
      <c r="H34" s="164">
        <f>'2012 полн'!AG28</f>
        <v>83139.718</v>
      </c>
      <c r="I34" s="164">
        <f>'2012 полн'!AJ28</f>
        <v>414</v>
      </c>
      <c r="J34" s="164">
        <f>'2012 полн'!AK28</f>
        <v>4985.872</v>
      </c>
      <c r="K34" s="164">
        <f>'2012 полн'!AL28</f>
        <v>1488.3200000000002</v>
      </c>
      <c r="L34" s="158">
        <f>'2012 полн'!AM28+'2012 полн'!AN28+'2012 полн'!AO28+'2012 полн'!AP28+'2012 полн'!AQ28+'2012 полн'!AR28+'2012 полн'!AS28+'2012 полн'!AT28</f>
        <v>52204.36600000001</v>
      </c>
      <c r="M34" s="159">
        <f>'2012 полн'!AU28+'2012 полн'!AV28+'2012 полн'!AW28+'2012 полн'!AX28</f>
        <v>3191.17</v>
      </c>
      <c r="N34" s="165">
        <f>'2012 полн'!AZ28</f>
        <v>25324.455</v>
      </c>
      <c r="O34" s="165">
        <f>'2012 полн'!BD28</f>
        <v>103.5</v>
      </c>
      <c r="P34" s="161">
        <f>'2012 полн'!BE28</f>
        <v>87297.68300000002</v>
      </c>
      <c r="Q34" s="161">
        <f>'2012 полн'!BF28</f>
        <v>-3743.9650000000256</v>
      </c>
      <c r="R34" s="161">
        <f>'2012 полн'!BG28</f>
        <v>-14176.26000000001</v>
      </c>
      <c r="S34" s="146"/>
      <c r="T34" s="146"/>
    </row>
    <row r="35" spans="1:20" ht="12.75">
      <c r="A35" s="163" t="s">
        <v>48</v>
      </c>
      <c r="B35" s="75">
        <f>'2012 полн'!B29</f>
        <v>7441.6</v>
      </c>
      <c r="C35" s="26">
        <f>'2012 полн'!C29</f>
        <v>63625.68000000001</v>
      </c>
      <c r="D35" s="27">
        <f>'2012 полн'!D29</f>
        <v>634.848</v>
      </c>
      <c r="E35" s="158">
        <f>'2012 полн'!U29</f>
        <v>93519.42000000001</v>
      </c>
      <c r="F35" s="158">
        <f>'2012 полн'!V13</f>
        <v>0</v>
      </c>
      <c r="G35" s="164">
        <f>'2012 полн'!AF29</f>
        <v>109310.36</v>
      </c>
      <c r="H35" s="164">
        <f>'2012 полн'!AG29</f>
        <v>109945.208</v>
      </c>
      <c r="I35" s="164">
        <f>'2012 полн'!AJ29</f>
        <v>214</v>
      </c>
      <c r="J35" s="164">
        <f>'2012 полн'!AK29</f>
        <v>4985.872</v>
      </c>
      <c r="K35" s="164">
        <f>'2012 полн'!AL29</f>
        <v>1488.3200000000002</v>
      </c>
      <c r="L35" s="158">
        <f>'2012 полн'!AM29+'2012 полн'!AN29+'2012 полн'!AO29+'2012 полн'!AP29+'2012 полн'!AQ29+'2012 полн'!AR29+'2012 полн'!AS29+'2012 полн'!AT29</f>
        <v>43646.52600000001</v>
      </c>
      <c r="M35" s="159">
        <f>'2012 полн'!AU29+'2012 полн'!AV29+'2012 полн'!AW29+'2012 полн'!AX29</f>
        <v>18925.575</v>
      </c>
      <c r="N35" s="165">
        <f>'2012 полн'!AZ29</f>
        <v>25919.3792</v>
      </c>
      <c r="O35" s="165">
        <f>'2012 полн'!BD29</f>
        <v>53.5</v>
      </c>
      <c r="P35" s="161">
        <f>'2012 полн'!BE29</f>
        <v>95019.1722</v>
      </c>
      <c r="Q35" s="161">
        <f>'2012 полн'!BF29</f>
        <v>15140.035799999998</v>
      </c>
      <c r="R35" s="161">
        <f>'2012 полн'!BG29</f>
        <v>15790.939999999988</v>
      </c>
      <c r="S35" s="146"/>
      <c r="T35" s="146"/>
    </row>
    <row r="36" spans="1:20" ht="12.75">
      <c r="A36" s="163" t="s">
        <v>49</v>
      </c>
      <c r="B36" s="75">
        <f>'2012 полн'!B30</f>
        <v>7441.6</v>
      </c>
      <c r="C36" s="26">
        <f>'2012 полн'!C30</f>
        <v>63625.68000000001</v>
      </c>
      <c r="D36" s="27">
        <f>'2012 полн'!D30</f>
        <v>634.848</v>
      </c>
      <c r="E36" s="158">
        <f>'2012 полн'!U30</f>
        <v>99818.1</v>
      </c>
      <c r="F36" s="158">
        <f>'2012 полн'!V14</f>
        <v>0</v>
      </c>
      <c r="G36" s="164">
        <f>'2012 полн'!AF30</f>
        <v>88414.03</v>
      </c>
      <c r="H36" s="164">
        <f>'2012 полн'!AG30</f>
        <v>89048.878</v>
      </c>
      <c r="I36" s="164">
        <f>'2012 полн'!AJ30</f>
        <v>214</v>
      </c>
      <c r="J36" s="164">
        <f>'2012 полн'!AK30</f>
        <v>4985.872</v>
      </c>
      <c r="K36" s="164">
        <f>'2012 полн'!AL30</f>
        <v>1488.3200000000002</v>
      </c>
      <c r="L36" s="158">
        <f>'2012 полн'!AM30+'2012 полн'!AN30+'2012 полн'!AO30+'2012 полн'!AP30+'2012 полн'!AQ30+'2012 полн'!AR30+'2012 полн'!AS30+'2012 полн'!AT30</f>
        <v>43646.52600000001</v>
      </c>
      <c r="M36" s="159">
        <f>'2012 полн'!AU30+'2012 полн'!AV30+'2012 полн'!AW30+'2012 полн'!AX30</f>
        <v>814.85</v>
      </c>
      <c r="N36" s="165">
        <f>'2012 полн'!AZ30</f>
        <v>29906.96</v>
      </c>
      <c r="O36" s="165">
        <f>'2012 полн'!BD30</f>
        <v>53.5</v>
      </c>
      <c r="P36" s="161">
        <f>'2012 полн'!BE30</f>
        <v>80896.028</v>
      </c>
      <c r="Q36" s="161">
        <f>'2012 полн'!BF30</f>
        <v>8366.849999999991</v>
      </c>
      <c r="R36" s="161">
        <f>'2012 полн'!BG30</f>
        <v>-11404.070000000007</v>
      </c>
      <c r="S36" s="146"/>
      <c r="T36" s="146"/>
    </row>
    <row r="37" spans="1:20" ht="12.75">
      <c r="A37" s="163" t="s">
        <v>50</v>
      </c>
      <c r="B37" s="75">
        <f>'2012 полн'!B31</f>
        <v>7441.6</v>
      </c>
      <c r="C37" s="26">
        <f>'2012 полн'!C31</f>
        <v>63625.68000000001</v>
      </c>
      <c r="D37" s="27">
        <f>'2012 полн'!D31</f>
        <v>634.848</v>
      </c>
      <c r="E37" s="158">
        <f>'2012 полн'!U31</f>
        <v>99984.74</v>
      </c>
      <c r="F37" s="158">
        <f>'2012 полн'!V15</f>
        <v>0</v>
      </c>
      <c r="G37" s="164">
        <f>'2012 полн'!AF31</f>
        <v>76808.27</v>
      </c>
      <c r="H37" s="164">
        <f>'2012 полн'!AG31</f>
        <v>77443.118</v>
      </c>
      <c r="I37" s="164">
        <f>'2012 полн'!AJ31</f>
        <v>214</v>
      </c>
      <c r="J37" s="164">
        <f>'2012 полн'!AK31</f>
        <v>4985.872</v>
      </c>
      <c r="K37" s="164">
        <f>'2012 полн'!AL31</f>
        <v>1488.3200000000002</v>
      </c>
      <c r="L37" s="158">
        <f>'2012 полн'!AM31+'2012 полн'!AN31+'2012 полн'!AO31+'2012 полн'!AP31+'2012 полн'!AQ31+'2012 полн'!AR31+'2012 полн'!AS31+'2012 полн'!AT31</f>
        <v>43646.52600000001</v>
      </c>
      <c r="M37" s="159">
        <f>'2012 полн'!AU31+'2012 полн'!AV31+'2012 полн'!AW31+'2012 полн'!AX31</f>
        <v>4079.7</v>
      </c>
      <c r="N37" s="165">
        <f>'2012 полн'!AZ31</f>
        <v>29906.976</v>
      </c>
      <c r="O37" s="165">
        <f>'2012 полн'!BD31</f>
        <v>53.5</v>
      </c>
      <c r="P37" s="161">
        <f>'2012 полн'!BE31</f>
        <v>84160.894</v>
      </c>
      <c r="Q37" s="161">
        <f>'2012 полн'!BF31</f>
        <v>-6503.775999999998</v>
      </c>
      <c r="R37" s="161">
        <f>'2012 полн'!BG31</f>
        <v>-23176.47</v>
      </c>
      <c r="S37" s="146"/>
      <c r="T37" s="146"/>
    </row>
    <row r="38" spans="1:18" ht="12.75">
      <c r="A38" s="163" t="s">
        <v>51</v>
      </c>
      <c r="B38" s="75">
        <f>'2012 полн'!B32</f>
        <v>7441.6</v>
      </c>
      <c r="C38" s="26">
        <f>'2012 полн'!C32</f>
        <v>102688.27200000001</v>
      </c>
      <c r="D38" s="27">
        <f>'2012 полн'!D32</f>
        <v>849.576</v>
      </c>
      <c r="E38" s="158">
        <f>'2012 полн'!U32</f>
        <v>105361.6</v>
      </c>
      <c r="F38" s="158">
        <f>'2012 полн'!V16</f>
        <v>0</v>
      </c>
      <c r="G38" s="164">
        <f>'2012 полн'!AF32</f>
        <v>84862.49</v>
      </c>
      <c r="H38" s="164">
        <f>'2012 полн'!AG32</f>
        <v>85712.066</v>
      </c>
      <c r="I38" s="164">
        <f>'2012 полн'!AJ32</f>
        <v>214</v>
      </c>
      <c r="J38" s="164">
        <f>'2012 полн'!AK32</f>
        <v>5581.200000000001</v>
      </c>
      <c r="K38" s="164">
        <f>'2012 полн'!AL32</f>
        <v>1488.3200000000002</v>
      </c>
      <c r="L38" s="158">
        <f>'2012 полн'!AM32+'2012 полн'!AN32+'2012 полн'!AO32+'2012 полн'!AP32+'2012 полн'!AQ32+'2012 полн'!AR32+'2012 полн'!AS32+'2012 полн'!AT32</f>
        <v>43646.52600000001</v>
      </c>
      <c r="M38" s="159">
        <f>'2012 полн'!AU32+'2012 полн'!AV32+'2012 полн'!AW32+'2012 полн'!AX32</f>
        <v>2252.8199999999997</v>
      </c>
      <c r="N38" s="165">
        <f>'2012 полн'!AZ32</f>
        <v>29906.976</v>
      </c>
      <c r="O38" s="165">
        <f>'2012 полн'!BD32</f>
        <v>53.5</v>
      </c>
      <c r="P38" s="161">
        <f>'2012 полн'!BE32</f>
        <v>82929.342</v>
      </c>
      <c r="Q38" s="161">
        <f>'2012 полн'!BF32</f>
        <v>2996.724000000002</v>
      </c>
      <c r="R38" s="161">
        <f>'2012 полн'!BG32</f>
        <v>-20499.11</v>
      </c>
    </row>
    <row r="39" spans="1:18" ht="12.75">
      <c r="A39" s="163" t="s">
        <v>52</v>
      </c>
      <c r="B39" s="75">
        <f>'2012 полн'!B33</f>
        <v>7441.6</v>
      </c>
      <c r="C39" s="26">
        <f>'2012 полн'!C33</f>
        <v>102688.27200000001</v>
      </c>
      <c r="D39" s="27">
        <f>'2012 полн'!D33</f>
        <v>0</v>
      </c>
      <c r="E39" s="158">
        <f>'2012 полн'!U33</f>
        <v>105384.89000000001</v>
      </c>
      <c r="F39" s="158">
        <f>'2012 полн'!V17</f>
        <v>0</v>
      </c>
      <c r="G39" s="164">
        <f>'2012 полн'!AF33</f>
        <v>80182.28</v>
      </c>
      <c r="H39" s="164">
        <f>'2012 полн'!AG33</f>
        <v>80182.28</v>
      </c>
      <c r="I39" s="164">
        <f>'2012 полн'!AJ33</f>
        <v>1414</v>
      </c>
      <c r="J39" s="164">
        <f>'2012 полн'!AK33</f>
        <v>5581.200000000001</v>
      </c>
      <c r="K39" s="164">
        <f>'2012 полн'!AL33</f>
        <v>1488.3200000000002</v>
      </c>
      <c r="L39" s="158">
        <f>'2012 полн'!AM33+'2012 полн'!AN33+'2012 полн'!AO33+'2012 полн'!AP33+'2012 полн'!AQ33+'2012 полн'!AR33+'2012 полн'!AS33+'2012 полн'!AT33</f>
        <v>43646.52600000001</v>
      </c>
      <c r="M39" s="159">
        <f>'2012 полн'!AU33+'2012 полн'!AV33+'2012 полн'!AW33+'2012 полн'!AX33</f>
        <v>5178.89</v>
      </c>
      <c r="N39" s="165">
        <f>'2012 полн'!AZ33</f>
        <v>29416.565899999998</v>
      </c>
      <c r="O39" s="165">
        <f>'2012 полн'!BD33</f>
        <v>353.5</v>
      </c>
      <c r="P39" s="161">
        <f>'2012 полн'!BE33</f>
        <v>85665.0019</v>
      </c>
      <c r="Q39" s="161">
        <f>'2012 полн'!BF33</f>
        <v>-4068.721900000004</v>
      </c>
      <c r="R39" s="161">
        <f>'2012 полн'!BG33</f>
        <v>-25202.610000000015</v>
      </c>
    </row>
    <row r="40" spans="1:18" ht="12.75">
      <c r="A40" s="163" t="s">
        <v>53</v>
      </c>
      <c r="B40" s="75">
        <f>'2012 полн'!B34</f>
        <v>7441.6</v>
      </c>
      <c r="C40" s="26">
        <f>'2012 полн'!C34</f>
        <v>102688.27200000001</v>
      </c>
      <c r="D40" s="27">
        <f>'2012 полн'!D34</f>
        <v>0</v>
      </c>
      <c r="E40" s="158">
        <f>'2012 полн'!U34</f>
        <v>104993.68000000001</v>
      </c>
      <c r="F40" s="158">
        <f>'2012 полн'!V18</f>
        <v>0</v>
      </c>
      <c r="G40" s="164">
        <f>'2012 полн'!AF34</f>
        <v>107486.56999999999</v>
      </c>
      <c r="H40" s="164">
        <f>'2012 полн'!AG34</f>
        <v>107486.56999999999</v>
      </c>
      <c r="I40" s="164">
        <f>'2012 полн'!AJ34</f>
        <v>614</v>
      </c>
      <c r="J40" s="164">
        <f>'2012 полн'!AK34</f>
        <v>5581.200000000001</v>
      </c>
      <c r="K40" s="164">
        <f>'2012 полн'!AL34</f>
        <v>1488.3200000000002</v>
      </c>
      <c r="L40" s="158">
        <f>'2012 полн'!AM34+'2012 полн'!AN34+'2012 полн'!AO34+'2012 полн'!AP34+'2012 полн'!AQ34+'2012 полн'!AR34+'2012 полн'!AS34+'2012 полн'!AT34</f>
        <v>54085.32600000001</v>
      </c>
      <c r="M40" s="159">
        <f>'2012 полн'!AU34+'2012 полн'!AV34+'2012 полн'!AW34+'2012 полн'!AX34</f>
        <v>5728</v>
      </c>
      <c r="N40" s="165">
        <f>'2012 полн'!AZ34</f>
        <v>29906.976</v>
      </c>
      <c r="O40" s="165">
        <f>'2012 полн'!BD34</f>
        <v>153.5</v>
      </c>
      <c r="P40" s="161">
        <f>'2012 полн'!BE34</f>
        <v>96943.32199999999</v>
      </c>
      <c r="Q40" s="161">
        <f>'2012 полн'!BF34</f>
        <v>11157.248000000007</v>
      </c>
      <c r="R40" s="161">
        <f>'2012 полн'!BG34</f>
        <v>2492.889999999985</v>
      </c>
    </row>
    <row r="41" spans="1:18" ht="12.75">
      <c r="A41" s="163" t="s">
        <v>41</v>
      </c>
      <c r="B41" s="75">
        <f>'2012 полн'!B35</f>
        <v>7441.6</v>
      </c>
      <c r="C41" s="26">
        <f>'2012 полн'!C35</f>
        <v>102688.27200000001</v>
      </c>
      <c r="D41" s="27">
        <f>'2012 полн'!D35</f>
        <v>0</v>
      </c>
      <c r="E41" s="158">
        <f>'2012 полн'!U35</f>
        <v>105451.83</v>
      </c>
      <c r="F41" s="158">
        <f>'2012 полн'!V19</f>
        <v>0</v>
      </c>
      <c r="G41" s="164">
        <f>'2012 полн'!AF35</f>
        <v>107931.74</v>
      </c>
      <c r="H41" s="164">
        <f>'2012 полн'!AG35</f>
        <v>107931.74</v>
      </c>
      <c r="I41" s="164">
        <f>'2012 полн'!AJ35</f>
        <v>614</v>
      </c>
      <c r="J41" s="164">
        <f>'2012 полн'!AK35</f>
        <v>5581.200000000001</v>
      </c>
      <c r="K41" s="164">
        <f>'2012 полн'!AL35</f>
        <v>1488.3200000000002</v>
      </c>
      <c r="L41" s="158">
        <f>'2012 полн'!AM35+'2012 полн'!AN35+'2012 полн'!AO35+'2012 полн'!AP35+'2012 полн'!AQ35+'2012 полн'!AR35+'2012 полн'!AS35+'2012 полн'!AT35</f>
        <v>52204.36600000001</v>
      </c>
      <c r="M41" s="159">
        <f>'2012 полн'!AU35+'2012 полн'!AV35+'2012 полн'!AW35+'2012 полн'!AX35</f>
        <v>23907.6408</v>
      </c>
      <c r="N41" s="165">
        <f>'2012 полн'!AZ35</f>
        <v>29906.976</v>
      </c>
      <c r="O41" s="165">
        <f>'2012 полн'!BD35</f>
        <v>153.5</v>
      </c>
      <c r="P41" s="161">
        <f>'2012 полн'!BE35</f>
        <v>113242.00279999999</v>
      </c>
      <c r="Q41" s="161">
        <f>'2012 полн'!BF35</f>
        <v>-4696.262799999982</v>
      </c>
      <c r="R41" s="161">
        <f>'2012 полн'!BG35</f>
        <v>2479.9100000000035</v>
      </c>
    </row>
    <row r="42" spans="1:18" ht="12.75">
      <c r="A42" s="163" t="s">
        <v>42</v>
      </c>
      <c r="B42" s="75">
        <f>'2012 полн'!B36</f>
        <v>7441.6</v>
      </c>
      <c r="C42" s="26">
        <f>'2012 полн'!C36</f>
        <v>102688.27200000001</v>
      </c>
      <c r="D42" s="27">
        <f>'2012 полн'!D36</f>
        <v>0</v>
      </c>
      <c r="E42" s="158">
        <f>'2012 полн'!U36</f>
        <v>104665.3</v>
      </c>
      <c r="F42" s="158">
        <f>'2012 полн'!V20</f>
        <v>0</v>
      </c>
      <c r="G42" s="164">
        <f>'2012 полн'!AF36</f>
        <v>101609.93999999999</v>
      </c>
      <c r="H42" s="164">
        <f>'2012 полн'!AG36</f>
        <v>101609.93999999999</v>
      </c>
      <c r="I42" s="164">
        <f>'2012 полн'!AJ36</f>
        <v>614</v>
      </c>
      <c r="J42" s="164">
        <f>'2012 полн'!AK36</f>
        <v>5581.200000000001</v>
      </c>
      <c r="K42" s="164">
        <f>'2012 полн'!AL36</f>
        <v>1488.3200000000002</v>
      </c>
      <c r="L42" s="158">
        <f>'2012 полн'!AM36+'2012 полн'!AN36+'2012 полн'!AO36+'2012 полн'!AP36+'2012 полн'!AQ36+'2012 полн'!AR36+'2012 полн'!AS36+'2012 полн'!AT36</f>
        <v>52204.36600000001</v>
      </c>
      <c r="M42" s="159">
        <f>'2012 полн'!AU36+'2012 полн'!AV36+'2012 полн'!AW36+'2012 полн'!AX36</f>
        <v>1700</v>
      </c>
      <c r="N42" s="165">
        <f>'2012 полн'!AZ36</f>
        <v>29906.976</v>
      </c>
      <c r="O42" s="165">
        <f>'2012 полн'!BD36</f>
        <v>153.5</v>
      </c>
      <c r="P42" s="161">
        <f>'2012 полн'!BE36</f>
        <v>91034.362</v>
      </c>
      <c r="Q42" s="161">
        <f>'2012 полн'!BF36</f>
        <v>11189.577999999994</v>
      </c>
      <c r="R42" s="161">
        <f>'2012 полн'!BG36</f>
        <v>-3055.360000000015</v>
      </c>
    </row>
    <row r="43" spans="1:18" ht="13.5" thickBot="1">
      <c r="A43" s="166" t="s">
        <v>43</v>
      </c>
      <c r="B43" s="75">
        <f>'2012 полн'!B37</f>
        <v>7441.6</v>
      </c>
      <c r="C43" s="26">
        <f>'2012 полн'!C37</f>
        <v>102688.27200000001</v>
      </c>
      <c r="D43" s="27">
        <f>'2012 полн'!D37</f>
        <v>0</v>
      </c>
      <c r="E43" s="158">
        <f>'2012 полн'!U37</f>
        <v>101286.22</v>
      </c>
      <c r="F43" s="158">
        <f>'2012 полн'!V21</f>
        <v>0</v>
      </c>
      <c r="G43" s="164">
        <f>'2012 полн'!AF37</f>
        <v>131608.91999999998</v>
      </c>
      <c r="H43" s="164">
        <f>'2012 полн'!AG37</f>
        <v>131608.91999999998</v>
      </c>
      <c r="I43" s="164">
        <f>'2012 полн'!AJ37</f>
        <v>614</v>
      </c>
      <c r="J43" s="164">
        <f>'2012 полн'!AK37</f>
        <v>5581.200000000001</v>
      </c>
      <c r="K43" s="164">
        <f>'2012 полн'!AL37</f>
        <v>1488.3200000000002</v>
      </c>
      <c r="L43" s="158">
        <f>'2012 полн'!AM37+'2012 полн'!AN37+'2012 полн'!AO37+'2012 полн'!AP37+'2012 полн'!AQ37+'2012 полн'!AR37+'2012 полн'!AS37+'2012 полн'!AT37</f>
        <v>52204.36600000001</v>
      </c>
      <c r="M43" s="159">
        <f>'2012 полн'!AU37+'2012 полн'!AV37+'2012 полн'!AW37+'2012 полн'!AX37</f>
        <v>1429</v>
      </c>
      <c r="N43" s="165">
        <f>'2012 полн'!AZ37</f>
        <v>28569.476</v>
      </c>
      <c r="O43" s="165">
        <f>'2012 полн'!BD37</f>
        <v>153.5</v>
      </c>
      <c r="P43" s="161">
        <f>'2012 полн'!BE37</f>
        <v>89425.862</v>
      </c>
      <c r="Q43" s="161">
        <f>'2012 полн'!BF37</f>
        <v>42797.05799999999</v>
      </c>
      <c r="R43" s="161">
        <f>'2012 полн'!BG37</f>
        <v>30322.699999999983</v>
      </c>
    </row>
    <row r="44" spans="1:20" s="20" customFormat="1" ht="13.5" thickBot="1">
      <c r="A44" s="33" t="s">
        <v>5</v>
      </c>
      <c r="B44" s="34"/>
      <c r="C44" s="71">
        <f aca="true" t="shared" si="2" ref="C44:Q44">SUM(C32:C43)</f>
        <v>1036946.304</v>
      </c>
      <c r="D44" s="71">
        <f t="shared" si="2"/>
        <v>4658.664</v>
      </c>
      <c r="E44" s="71">
        <f t="shared" si="2"/>
        <v>1202601.39</v>
      </c>
      <c r="F44" s="71">
        <f t="shared" si="2"/>
        <v>0</v>
      </c>
      <c r="G44" s="71">
        <f t="shared" si="2"/>
        <v>1137129.75</v>
      </c>
      <c r="H44" s="71">
        <f t="shared" si="2"/>
        <v>1141788.4139999999</v>
      </c>
      <c r="I44" s="71">
        <f t="shared" si="2"/>
        <v>5368</v>
      </c>
      <c r="J44" s="71">
        <f t="shared" si="2"/>
        <v>63402.431999999986</v>
      </c>
      <c r="K44" s="71">
        <f t="shared" si="2"/>
        <v>17859.84</v>
      </c>
      <c r="L44" s="71">
        <f t="shared" si="2"/>
        <v>585544.1520000002</v>
      </c>
      <c r="M44" s="71">
        <f t="shared" si="2"/>
        <v>92518.6458</v>
      </c>
      <c r="N44" s="71">
        <f t="shared" si="2"/>
        <v>339065.0618817899</v>
      </c>
      <c r="O44" s="71">
        <f t="shared" si="2"/>
        <v>1342</v>
      </c>
      <c r="P44" s="71">
        <f t="shared" si="2"/>
        <v>1099732.1316817899</v>
      </c>
      <c r="Q44" s="71">
        <f t="shared" si="2"/>
        <v>47424.28231821013</v>
      </c>
      <c r="R44" s="71">
        <f>SUM(R32:R43)</f>
        <v>-65471.6400000001</v>
      </c>
      <c r="S44" s="67"/>
      <c r="T44" s="67"/>
    </row>
    <row r="45" spans="1:18" ht="13.5" thickBot="1">
      <c r="A45" s="319" t="s">
        <v>69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151"/>
      <c r="Q45" s="152"/>
      <c r="R45" s="152"/>
    </row>
    <row r="46" spans="1:20" s="20" customFormat="1" ht="13.5" thickBot="1">
      <c r="A46" s="74" t="s">
        <v>54</v>
      </c>
      <c r="B46" s="36"/>
      <c r="C46" s="37">
        <f>C44+C30</f>
        <v>3730297.754</v>
      </c>
      <c r="D46" s="37">
        <f>D44+D30</f>
        <v>412316.72231520014</v>
      </c>
      <c r="E46" s="37">
        <f>E44+E30</f>
        <v>4098655.21</v>
      </c>
      <c r="F46" s="37">
        <f>F44+F30</f>
        <v>227789.13</v>
      </c>
      <c r="G46" s="37">
        <f>G44+G30</f>
        <v>3830853.2199999997</v>
      </c>
      <c r="H46" s="37">
        <f>H44+H30</f>
        <v>4470959.072315199</v>
      </c>
      <c r="I46" s="37">
        <f>I44+I30</f>
        <v>7786</v>
      </c>
      <c r="J46" s="37">
        <f aca="true" t="shared" si="3" ref="J46:Y46">J44+J30</f>
        <v>255310.50400000002</v>
      </c>
      <c r="K46" s="37">
        <f t="shared" si="3"/>
        <v>80086.5778838</v>
      </c>
      <c r="L46" s="37">
        <f t="shared" si="3"/>
        <v>2256223.964919426</v>
      </c>
      <c r="M46" s="37">
        <f t="shared" si="3"/>
        <v>740505.2222</v>
      </c>
      <c r="N46" s="37">
        <f t="shared" si="3"/>
        <v>953550.0023184579</v>
      </c>
      <c r="O46" s="37">
        <f t="shared" si="3"/>
        <v>1946.5</v>
      </c>
      <c r="P46" s="37">
        <f t="shared" si="3"/>
        <v>4287622.771321683</v>
      </c>
      <c r="Q46" s="37">
        <f t="shared" si="3"/>
        <v>178999.38105666847</v>
      </c>
      <c r="R46" s="37">
        <f t="shared" si="3"/>
        <v>-214046.17000000013</v>
      </c>
      <c r="S46" s="68"/>
      <c r="T46" s="67"/>
    </row>
    <row r="48" spans="1:4" ht="12.75">
      <c r="A48" s="20" t="s">
        <v>70</v>
      </c>
      <c r="D48" s="76" t="s">
        <v>103</v>
      </c>
    </row>
    <row r="49" spans="1:4" ht="12.75">
      <c r="A49" s="167" t="s">
        <v>71</v>
      </c>
      <c r="B49" s="167" t="s">
        <v>72</v>
      </c>
      <c r="C49" s="410" t="s">
        <v>73</v>
      </c>
      <c r="D49" s="411"/>
    </row>
    <row r="50" spans="1:4" ht="12.75">
      <c r="A50" s="108">
        <v>640426.54</v>
      </c>
      <c r="B50" s="168">
        <v>380197.73</v>
      </c>
      <c r="C50" s="169">
        <f>A50-B50</f>
        <v>260228.81000000006</v>
      </c>
      <c r="D50" s="170"/>
    </row>
    <row r="51" ht="12.75">
      <c r="A51" s="44"/>
    </row>
    <row r="52" spans="1:7" ht="12.75">
      <c r="A52" s="145" t="s">
        <v>77</v>
      </c>
      <c r="G52" s="145" t="s">
        <v>78</v>
      </c>
    </row>
    <row r="53" ht="12.75">
      <c r="A53" s="146"/>
    </row>
    <row r="54" ht="12.75">
      <c r="A54" s="145" t="s">
        <v>104</v>
      </c>
    </row>
    <row r="55" ht="12.75">
      <c r="A55" s="145" t="s">
        <v>79</v>
      </c>
    </row>
  </sheetData>
  <sheetProtection/>
  <mergeCells count="29">
    <mergeCell ref="P10:P11"/>
    <mergeCell ref="A13:O13"/>
    <mergeCell ref="A45:O45"/>
    <mergeCell ref="A29:O29"/>
    <mergeCell ref="C49:D49"/>
    <mergeCell ref="I8:I11"/>
    <mergeCell ref="J8:P9"/>
    <mergeCell ref="A8:A11"/>
    <mergeCell ref="B8:B11"/>
    <mergeCell ref="C8:C11"/>
    <mergeCell ref="D8:D11"/>
    <mergeCell ref="N10:N11"/>
    <mergeCell ref="O10:O11"/>
    <mergeCell ref="Q8:Q11"/>
    <mergeCell ref="R8:R11"/>
    <mergeCell ref="E10:F10"/>
    <mergeCell ref="H10:H11"/>
    <mergeCell ref="J10:J11"/>
    <mergeCell ref="K10:K11"/>
    <mergeCell ref="L10:L11"/>
    <mergeCell ref="M10:M11"/>
    <mergeCell ref="E8:F9"/>
    <mergeCell ref="G8:H9"/>
    <mergeCell ref="A7:D7"/>
    <mergeCell ref="E7:F7"/>
    <mergeCell ref="B1:H1"/>
    <mergeCell ref="B2:H2"/>
    <mergeCell ref="A5:O5"/>
    <mergeCell ref="A6:G6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2011-03-31T10:22:59Z</cp:lastPrinted>
  <dcterms:created xsi:type="dcterms:W3CDTF">2010-04-02T05:03:24Z</dcterms:created>
  <dcterms:modified xsi:type="dcterms:W3CDTF">2013-03-25T03:03:07Z</dcterms:modified>
  <cp:category/>
  <cp:version/>
  <cp:contentType/>
  <cp:contentStatus/>
</cp:coreProperties>
</file>